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70" windowWidth="12240" windowHeight="5445" tabRatio="823" activeTab="0"/>
  </bookViews>
  <sheets>
    <sheet name="Pneumatic components" sheetId="1" r:id="rId1"/>
    <sheet name="fires per bottle" sheetId="2" state="hidden" r:id="rId2"/>
    <sheet name="Flipper geometry" sheetId="3" r:id="rId3"/>
    <sheet name="throwing calculations" sheetId="4" state="hidden" r:id="rId4"/>
    <sheet name="calculations" sheetId="5" state="hidden" r:id="rId5"/>
    <sheet name="pipe flow rates" sheetId="6" state="hidden" r:id="rId6"/>
    <sheet name="Assumptions" sheetId="7" r:id="rId7"/>
    <sheet name="Component schematic" sheetId="8" r:id="rId8"/>
    <sheet name="Flipper type A diagram" sheetId="9" r:id="rId9"/>
    <sheet name="Flipper type B diagram" sheetId="10" r:id="rId10"/>
    <sheet name="Flipper type C diagram" sheetId="11" r:id="rId11"/>
    <sheet name="Flipper type D diagram" sheetId="12" r:id="rId12"/>
    <sheet name="misc calculations" sheetId="13" state="hidden" r:id="rId13"/>
  </sheets>
  <definedNames>
    <definedName name="AB">'Flipper geometry'!$C$3</definedName>
    <definedName name="AC">'Flipper geometry'!$C$5</definedName>
    <definedName name="AD">'misc calculations'!$B$12</definedName>
    <definedName name="ADE">'misc calculations'!$B$18</definedName>
    <definedName name="ADEsign">'misc calculations'!$A$24</definedName>
    <definedName name="AE">'Flipper geometry'!$C$7</definedName>
    <definedName name="ani_mag">'Flipper geometry'!$K$40</definedName>
    <definedName name="BAC">'misc calculations'!$B$15</definedName>
    <definedName name="BACsign">'misc calculations'!$A$22</definedName>
    <definedName name="BC">'Flipper geometry'!$C$4</definedName>
    <definedName name="BGsign">'misc calculations'!$A$8</definedName>
    <definedName name="bore">'calculations'!$B$2</definedName>
    <definedName name="CAF">'misc calculations'!$B$16</definedName>
    <definedName name="DAB">'misc calculations'!$B$13</definedName>
    <definedName name="DABsign">'misc calculations'!$A$21</definedName>
    <definedName name="DB">'Flipper geometry'!$C$8</definedName>
    <definedName name="DBB">'Flipper geometry'!$C$9</definedName>
    <definedName name="EAD">'misc calculations'!$B$14</definedName>
    <definedName name="EADsign">'misc calculations'!$A$20</definedName>
    <definedName name="ED">'Flipper geometry'!$C$6</definedName>
    <definedName name="EDsign">'misc calculations'!$A$9</definedName>
    <definedName name="FC">'misc calculations'!$B$17</definedName>
    <definedName name="flip_mech_adv">'calculations'!$B$7</definedName>
    <definedName name="Fp">'calculations'!$B$9</definedName>
    <definedName name="Fr">'calculations'!$B$4</definedName>
    <definedName name="Fv">'calculations'!$B$5</definedName>
    <definedName name="Mass_of_flipper">'calculations'!$B$15</definedName>
    <definedName name="mass_to_throw">'Pneumatic components'!$C$18</definedName>
    <definedName name="Max_flipper_height">'Flipper geometry'!$B$41</definedName>
    <definedName name="Minimum_flipper_tip_height">'Flipper geometry'!$B$40</definedName>
    <definedName name="no_of_rams">'Pneumatic components'!$C$13</definedName>
    <definedName name="Pb">'Pneumatic components'!$C$3</definedName>
    <definedName name="Pb_high">'calculations'!$B$13</definedName>
    <definedName name="Pb_low">'calculations'!$B$12</definedName>
    <definedName name="PIsign">'misc calculations'!$A$25</definedName>
    <definedName name="PQ">'calculations'!$B$6</definedName>
    <definedName name="ram_csa">'calculations'!$B$1</definedName>
    <definedName name="ram_moment">'Pneumatic components'!$C$16</definedName>
    <definedName name="RamForce">'Flipper geometry'!$C$10</definedName>
    <definedName name="stroke">'calculations'!$B$3</definedName>
    <definedName name="t">'calculations'!$B$17</definedName>
    <definedName name="Vc">'Pneumatic components'!$C$22</definedName>
    <definedName name="Vp">'calculations'!$B$10</definedName>
    <definedName name="Vt">'calculations'!$B$14</definedName>
    <definedName name="x_offset">'Flipper geometry'!$M$41</definedName>
    <definedName name="y_offset">'Flipper geometry'!$M$40</definedName>
  </definedNames>
  <calcPr fullCalcOnLoad="1"/>
</workbook>
</file>

<file path=xl/comments1.xml><?xml version="1.0" encoding="utf-8"?>
<comments xmlns="http://schemas.openxmlformats.org/spreadsheetml/2006/main">
  <authors>
    <author>Noel Poncelet</author>
    <author>No?l Poncelet, BT Broadcast &amp; Satellite comms</author>
    <author>BT</author>
    <author>Administrator</author>
  </authors>
  <commentList>
    <comment ref="B3" authorId="0">
      <text>
        <r>
          <rPr>
            <b/>
            <sz val="8"/>
            <rFont val="Tahoma"/>
            <family val="0"/>
          </rPr>
          <t xml:space="preserve">Regulated pressure:
</t>
        </r>
        <r>
          <rPr>
            <sz val="8"/>
            <rFont val="Tahoma"/>
            <family val="2"/>
          </rPr>
          <t>This is the pressure on the low pressure output side of the regulator, and is usually the highest pressure that components like actuators valves and cylinders can handle.</t>
        </r>
        <r>
          <rPr>
            <sz val="8"/>
            <rFont val="Tahoma"/>
            <family val="0"/>
          </rPr>
          <t xml:space="preserve">
</t>
        </r>
      </text>
    </comment>
    <comment ref="B4" authorId="0">
      <text>
        <r>
          <rPr>
            <b/>
            <sz val="8"/>
            <rFont val="Tahoma"/>
            <family val="0"/>
          </rPr>
          <t xml:space="preserve">Regulator flow:
</t>
        </r>
        <r>
          <rPr>
            <sz val="8"/>
            <rFont val="Tahoma"/>
            <family val="2"/>
          </rPr>
          <t>This is the rate of flow of gas through the regulator, measured in Litres per minute.</t>
        </r>
        <r>
          <rPr>
            <sz val="8"/>
            <rFont val="Tahoma"/>
            <family val="0"/>
          </rPr>
          <t xml:space="preserve">
</t>
        </r>
      </text>
    </comment>
    <comment ref="B5" authorId="0">
      <text>
        <r>
          <rPr>
            <b/>
            <sz val="8"/>
            <rFont val="Tahoma"/>
            <family val="0"/>
          </rPr>
          <t xml:space="preserve">Buffer tank:
</t>
        </r>
        <r>
          <rPr>
            <sz val="8"/>
            <rFont val="Tahoma"/>
            <family val="2"/>
          </rPr>
          <t>This is the volume in litres of a buffer tank. If you don't have a buffer tank, set this value to 0.</t>
        </r>
        <r>
          <rPr>
            <sz val="8"/>
            <rFont val="Tahoma"/>
            <family val="0"/>
          </rPr>
          <t xml:space="preserve">
</t>
        </r>
      </text>
    </comment>
    <comment ref="B6" authorId="0">
      <text>
        <r>
          <rPr>
            <b/>
            <sz val="8"/>
            <rFont val="Tahoma"/>
            <family val="0"/>
          </rPr>
          <t>Combined actuator valve flow rate:</t>
        </r>
        <r>
          <rPr>
            <sz val="8"/>
            <rFont val="Tahoma"/>
            <family val="0"/>
          </rPr>
          <t xml:space="preserve">
</t>
        </r>
        <r>
          <rPr>
            <sz val="8"/>
            <rFont val="Tahoma"/>
            <family val="2"/>
          </rPr>
          <t>This is the flow rate of gas through the actuator valves. If there is more than one pipe supplying gas to the ram, then the value entered here must be the combined flow rate of all valves. 
Note that if the pipe size you are using is too small, the flow rate you enter may not be achievable. If this is the case, you will get a warning message displayed below.</t>
        </r>
      </text>
    </comment>
    <comment ref="B7" authorId="0">
      <text>
        <r>
          <rPr>
            <b/>
            <sz val="8"/>
            <rFont val="Tahoma"/>
            <family val="0"/>
          </rPr>
          <t xml:space="preserve">Pipe size:
</t>
        </r>
        <r>
          <rPr>
            <sz val="8"/>
            <rFont val="Tahoma"/>
            <family val="2"/>
          </rPr>
          <t>This is the outside dimension of the pipes used between the actuator and the cylinders/rams. It is used purely to calculate the inside dimension of standard pipes.</t>
        </r>
      </text>
    </comment>
    <comment ref="B8" authorId="0">
      <text>
        <r>
          <rPr>
            <b/>
            <sz val="8"/>
            <rFont val="Tahoma"/>
            <family val="0"/>
          </rPr>
          <t xml:space="preserve">Pipe size:
</t>
        </r>
        <r>
          <rPr>
            <sz val="8"/>
            <rFont val="Tahoma"/>
            <family val="2"/>
          </rPr>
          <t>This is the inside dimension of the pipes used between the actuator and the cylinders/rams. If this value is too small, then it may limit the flow of gas through the actuator valve. If this occurs, a warning message with be displayed below. 
If you leave this cell blank, then the outside pipe dimension given above will be used to calculate the inside dimension for standard sized pipes.</t>
        </r>
        <r>
          <rPr>
            <sz val="8"/>
            <rFont val="Tahoma"/>
            <family val="0"/>
          </rPr>
          <t xml:space="preserve">
</t>
        </r>
      </text>
    </comment>
    <comment ref="B10" authorId="0">
      <text>
        <r>
          <rPr>
            <b/>
            <sz val="8"/>
            <rFont val="Tahoma"/>
            <family val="0"/>
          </rPr>
          <t xml:space="preserve">Pipe length:
</t>
        </r>
        <r>
          <rPr>
            <sz val="8"/>
            <rFont val="Tahoma"/>
            <family val="2"/>
          </rPr>
          <t>This is the total length of pipe used between the actuator valve and the cylinders.</t>
        </r>
        <r>
          <rPr>
            <sz val="8"/>
            <rFont val="Tahoma"/>
            <family val="0"/>
          </rPr>
          <t xml:space="preserve">
</t>
        </r>
      </text>
    </comment>
    <comment ref="B11" authorId="0">
      <text>
        <r>
          <rPr>
            <b/>
            <sz val="8"/>
            <rFont val="Tahoma"/>
            <family val="0"/>
          </rPr>
          <t>Ram bore:</t>
        </r>
        <r>
          <rPr>
            <sz val="8"/>
            <rFont val="Tahoma"/>
            <family val="0"/>
          </rPr>
          <t xml:space="preserve">
This is the bore of the cylinders used, and is measured in mm. Note, if you have more than one cylinder, they must all have the same bore.</t>
        </r>
      </text>
    </comment>
    <comment ref="B12" authorId="0">
      <text>
        <r>
          <rPr>
            <b/>
            <sz val="8"/>
            <rFont val="Tahoma"/>
            <family val="0"/>
          </rPr>
          <t>Ram stroke:</t>
        </r>
        <r>
          <rPr>
            <sz val="8"/>
            <rFont val="Tahoma"/>
            <family val="0"/>
          </rPr>
          <t xml:space="preserve">
This is the stroke of the cylinder used, and is measured in mm. If there are more that one cylinder, then the strokes must be all the same length.</t>
        </r>
      </text>
    </comment>
    <comment ref="B13" authorId="0">
      <text>
        <r>
          <rPr>
            <b/>
            <sz val="8"/>
            <rFont val="Tahoma"/>
            <family val="0"/>
          </rPr>
          <t xml:space="preserve">Number of rams:
</t>
        </r>
        <r>
          <rPr>
            <sz val="8"/>
            <rFont val="Tahoma"/>
            <family val="2"/>
          </rPr>
          <t>This is the total number of cylinder/rams used on the flipper.</t>
        </r>
        <r>
          <rPr>
            <sz val="8"/>
            <rFont val="Tahoma"/>
            <family val="0"/>
          </rPr>
          <t xml:space="preserve">
</t>
        </r>
      </text>
    </comment>
    <comment ref="B15" authorId="0">
      <text>
        <r>
          <rPr>
            <b/>
            <sz val="8"/>
            <rFont val="Tahoma"/>
            <family val="0"/>
          </rPr>
          <t xml:space="preserve">Back pressure:
</t>
        </r>
        <r>
          <rPr>
            <sz val="8"/>
            <rFont val="Tahoma"/>
            <family val="2"/>
          </rPr>
          <t>This is force exerted against the ram by gas being forced out of the low pressure side of the ram. The backpressure is normally due to the Quick Exhaust Valve (QEV), or flow regulators designed deliberately to slow down the action of the ram. Typically a QEV might offer a backpressure of around 0.5 bars</t>
        </r>
      </text>
    </comment>
    <comment ref="B18" authorId="0">
      <text>
        <r>
          <rPr>
            <b/>
            <sz val="8"/>
            <rFont val="Tahoma"/>
            <family val="0"/>
          </rPr>
          <t xml:space="preserve">Mass to throw:
</t>
        </r>
        <r>
          <rPr>
            <sz val="8"/>
            <rFont val="Tahoma"/>
            <family val="2"/>
          </rPr>
          <t>This is the weight of the mass you want to throw, and is usually less than the weight of your opponent.</t>
        </r>
        <r>
          <rPr>
            <sz val="8"/>
            <rFont val="Tahoma"/>
            <family val="0"/>
          </rPr>
          <t xml:space="preserve">
</t>
        </r>
      </text>
    </comment>
    <comment ref="B19" authorId="0">
      <text>
        <r>
          <rPr>
            <b/>
            <sz val="8"/>
            <rFont val="Tahoma"/>
            <family val="0"/>
          </rPr>
          <t xml:space="preserve">Regulator variation:
</t>
        </r>
        <r>
          <rPr>
            <sz val="8"/>
            <rFont val="Tahoma"/>
            <family val="2"/>
          </rPr>
          <t>This tolerance allows the cut-in and cut-out values of the regulator to be calculate. The effect of this tolerance can sometimes be seen in the "Pressure in ram" graph as a saw tooth waveform.</t>
        </r>
        <r>
          <rPr>
            <sz val="8"/>
            <rFont val="Tahoma"/>
            <family val="0"/>
          </rPr>
          <t xml:space="preserve">
</t>
        </r>
      </text>
    </comment>
    <comment ref="B24" authorId="0">
      <text>
        <r>
          <rPr>
            <b/>
            <sz val="8"/>
            <rFont val="Tahoma"/>
            <family val="0"/>
          </rPr>
          <t xml:space="preserve">Max velocity:
</t>
        </r>
        <r>
          <rPr>
            <sz val="8"/>
            <rFont val="Tahoma"/>
            <family val="2"/>
          </rPr>
          <t>This calculated value is the speed of the mass just at it leave the flipper.</t>
        </r>
        <r>
          <rPr>
            <sz val="8"/>
            <rFont val="Tahoma"/>
            <family val="0"/>
          </rPr>
          <t xml:space="preserve">
</t>
        </r>
      </text>
    </comment>
    <comment ref="B25" authorId="0">
      <text>
        <r>
          <rPr>
            <b/>
            <sz val="8"/>
            <rFont val="Tahoma"/>
            <family val="0"/>
          </rPr>
          <t xml:space="preserve">Height above flipper:
</t>
        </r>
        <r>
          <rPr>
            <sz val="8"/>
            <rFont val="Tahoma"/>
            <family val="2"/>
          </rPr>
          <t>This is the height the mass will be thrown above the max height of the flipper.</t>
        </r>
        <r>
          <rPr>
            <sz val="8"/>
            <rFont val="Tahoma"/>
            <family val="0"/>
          </rPr>
          <t xml:space="preserve">
</t>
        </r>
      </text>
    </comment>
    <comment ref="B26" authorId="0">
      <text>
        <r>
          <rPr>
            <b/>
            <sz val="8"/>
            <rFont val="Tahoma"/>
            <family val="0"/>
          </rPr>
          <t xml:space="preserve">Max height:
</t>
        </r>
        <r>
          <rPr>
            <sz val="8"/>
            <rFont val="Tahoma"/>
            <family val="2"/>
          </rPr>
          <t>This is the height above ground that the mass with be thrown.</t>
        </r>
        <r>
          <rPr>
            <sz val="8"/>
            <rFont val="Tahoma"/>
            <family val="0"/>
          </rPr>
          <t xml:space="preserve">
</t>
        </r>
      </text>
    </comment>
    <comment ref="B27" authorId="0">
      <text>
        <r>
          <rPr>
            <b/>
            <sz val="8"/>
            <rFont val="Tahoma"/>
            <family val="0"/>
          </rPr>
          <t xml:space="preserve">Max weight:
</t>
        </r>
        <r>
          <rPr>
            <sz val="8"/>
            <rFont val="Tahoma"/>
            <family val="2"/>
          </rPr>
          <t xml:space="preserve">This is the theoretical maximum weight the flpper wil lift. </t>
        </r>
        <r>
          <rPr>
            <sz val="8"/>
            <rFont val="Tahoma"/>
            <family val="0"/>
          </rPr>
          <t xml:space="preserve">
Note that ifyou enter the maximum weight, you may need to adjust the width of the graph with the "spinner" in order for the results to be displayed on the graph.</t>
        </r>
      </text>
    </comment>
    <comment ref="B28" authorId="0">
      <text>
        <r>
          <rPr>
            <b/>
            <sz val="8"/>
            <rFont val="Tahoma"/>
            <family val="0"/>
          </rPr>
          <t xml:space="preserve">Time to take off:
</t>
        </r>
        <r>
          <rPr>
            <sz val="8"/>
            <rFont val="Tahoma"/>
            <family val="2"/>
          </rPr>
          <t>This calcucated value is the time it takes for the flipper to launch the mass into the air.</t>
        </r>
        <r>
          <rPr>
            <sz val="8"/>
            <rFont val="Tahoma"/>
            <family val="0"/>
          </rPr>
          <t xml:space="preserve">
</t>
        </r>
      </text>
    </comment>
    <comment ref="B29" authorId="0">
      <text>
        <r>
          <rPr>
            <b/>
            <sz val="8"/>
            <rFont val="Tahoma"/>
            <family val="2"/>
          </rPr>
          <t xml:space="preserve">Lift off to max height:
</t>
        </r>
        <r>
          <rPr>
            <sz val="8"/>
            <rFont val="Tahoma"/>
            <family val="2"/>
          </rPr>
          <t>This is the time taken for the mass to reach its maximum height when thrown.</t>
        </r>
        <r>
          <rPr>
            <sz val="8"/>
            <rFont val="Tahoma"/>
            <family val="0"/>
          </rPr>
          <t xml:space="preserve">
</t>
        </r>
      </text>
    </comment>
    <comment ref="B21" authorId="0">
      <text>
        <r>
          <rPr>
            <b/>
            <sz val="8"/>
            <rFont val="Tahoma"/>
            <family val="0"/>
          </rPr>
          <t xml:space="preserve">Narrower graph:
</t>
        </r>
        <r>
          <rPr>
            <sz val="8"/>
            <rFont val="Tahoma"/>
            <family val="2"/>
          </rPr>
          <t xml:space="preserve">Click the upper arrow to make the "Flpper" and "Pressure" graphs narrower. 
Note that if you are at the setting extremes, the graphs may not display correctly. If this occurs click either the "Narrower graph" or "Wider graph" arrows until the graphs appear correct. </t>
        </r>
        <r>
          <rPr>
            <sz val="8"/>
            <rFont val="Tahoma"/>
            <family val="0"/>
          </rPr>
          <t xml:space="preserve">
</t>
        </r>
      </text>
    </comment>
    <comment ref="B22" authorId="0">
      <text>
        <r>
          <rPr>
            <b/>
            <sz val="8"/>
            <rFont val="Tahoma"/>
            <family val="0"/>
          </rPr>
          <t xml:space="preserve">Wider graph:
</t>
        </r>
        <r>
          <rPr>
            <sz val="8"/>
            <rFont val="Tahoma"/>
            <family val="2"/>
          </rPr>
          <t xml:space="preserve">Click the lower arrow to make the "Flpper" and "Pressure" graphs wider. 
Note that if you are at the setting extremes, the graphs may not display correctly. If this occurs click either the "Narrower graph" or "Wider graph" arrows until the graphs appear correct. </t>
        </r>
        <r>
          <rPr>
            <sz val="8"/>
            <rFont val="Tahoma"/>
            <family val="0"/>
          </rPr>
          <t xml:space="preserve">
</t>
        </r>
      </text>
    </comment>
    <comment ref="B17" authorId="1">
      <text>
        <r>
          <rPr>
            <b/>
            <sz val="8"/>
            <rFont val="Tahoma"/>
            <family val="0"/>
          </rPr>
          <t xml:space="preserve">Mass of flipper:
</t>
        </r>
        <r>
          <rPr>
            <sz val="8"/>
            <rFont val="Tahoma"/>
            <family val="2"/>
          </rPr>
          <t xml:space="preserve">This is the mass of the flipper itself, which is assumed to be evenly distributed along its length. </t>
        </r>
        <r>
          <rPr>
            <sz val="8"/>
            <rFont val="Tahoma"/>
            <family val="0"/>
          </rPr>
          <t xml:space="preserve">
</t>
        </r>
      </text>
    </comment>
    <comment ref="B14" authorId="1">
      <text>
        <r>
          <rPr>
            <b/>
            <sz val="8"/>
            <rFont val="Tahoma"/>
            <family val="0"/>
          </rPr>
          <t xml:space="preserve">Ram operation:
</t>
        </r>
        <r>
          <rPr>
            <sz val="8"/>
            <rFont val="Tahoma"/>
            <family val="2"/>
          </rPr>
          <t>Single sided operations means that the ram will return to its rest position under gravity or other force.</t>
        </r>
        <r>
          <rPr>
            <sz val="8"/>
            <rFont val="Tahoma"/>
            <family val="0"/>
          </rPr>
          <t xml:space="preserve">
Double sided operation means the ram is driven back to its rest position using gas on the other side of the piston.
This information is only significant in calculating the number of flips you can get out of your  gas bottle.</t>
        </r>
      </text>
    </comment>
    <comment ref="B30" authorId="1">
      <text>
        <r>
          <rPr>
            <b/>
            <sz val="8"/>
            <rFont val="Tahoma"/>
            <family val="2"/>
          </rPr>
          <t xml:space="preserve">Flips per bottle:
</t>
        </r>
        <r>
          <rPr>
            <sz val="8"/>
            <rFont val="Tahoma"/>
            <family val="2"/>
          </rPr>
          <t>This is the total number of flips possible from the gas bottle</t>
        </r>
        <r>
          <rPr>
            <sz val="8"/>
            <rFont val="Tahoma"/>
            <family val="0"/>
          </rPr>
          <t xml:space="preserve">
</t>
        </r>
      </text>
    </comment>
    <comment ref="B2" authorId="1">
      <text>
        <r>
          <rPr>
            <b/>
            <sz val="8"/>
            <rFont val="Tahoma"/>
            <family val="0"/>
          </rPr>
          <t xml:space="preserve">Gas bottle size:
</t>
        </r>
        <r>
          <rPr>
            <sz val="8"/>
            <rFont val="Tahoma"/>
            <family val="2"/>
          </rPr>
          <t xml:space="preserve">This is the size of the resevoir used to store the CO2 gas in. Typically the size is measured  in </t>
        </r>
        <r>
          <rPr>
            <b/>
            <sz val="8"/>
            <rFont val="Tahoma"/>
            <family val="2"/>
          </rPr>
          <t>kg</t>
        </r>
        <r>
          <rPr>
            <sz val="8"/>
            <rFont val="Tahoma"/>
            <family val="2"/>
          </rPr>
          <t>, not litres, and are either 1kg or 2Kg bottles.</t>
        </r>
        <r>
          <rPr>
            <sz val="8"/>
            <rFont val="Tahoma"/>
            <family val="0"/>
          </rPr>
          <t xml:space="preserve">
</t>
        </r>
      </text>
    </comment>
    <comment ref="B16" authorId="2">
      <text>
        <r>
          <rPr>
            <b/>
            <sz val="8"/>
            <rFont val="Tahoma"/>
            <family val="0"/>
          </rPr>
          <t xml:space="preserve">Flipper type:
</t>
        </r>
        <r>
          <rPr>
            <sz val="8"/>
            <rFont val="Tahoma"/>
            <family val="2"/>
          </rPr>
          <t>There are four different types of flipper geometry depending on how the ram is joined to the flipper.</t>
        </r>
        <r>
          <rPr>
            <b/>
            <sz val="8"/>
            <rFont val="Tahoma"/>
            <family val="0"/>
          </rPr>
          <t xml:space="preserve">
</t>
        </r>
        <r>
          <rPr>
            <sz val="8"/>
            <rFont val="Tahoma"/>
            <family val="2"/>
          </rPr>
          <t>See the "flipper type diagrams" on the additional sheet to establish which type you want to simulate.</t>
        </r>
        <r>
          <rPr>
            <b/>
            <sz val="8"/>
            <rFont val="Tahoma"/>
            <family val="0"/>
          </rPr>
          <t xml:space="preserve">
</t>
        </r>
        <r>
          <rPr>
            <sz val="8"/>
            <rFont val="Tahoma"/>
            <family val="0"/>
          </rPr>
          <t xml:space="preserve">
</t>
        </r>
      </text>
    </comment>
    <comment ref="B9" authorId="3">
      <text>
        <r>
          <rPr>
            <b/>
            <sz val="8"/>
            <rFont val="Tahoma"/>
            <family val="0"/>
          </rPr>
          <t xml:space="preserve">Number of pipes feeding ram:
</t>
        </r>
        <r>
          <rPr>
            <sz val="8"/>
            <rFont val="Tahoma"/>
            <family val="2"/>
          </rPr>
          <t>This is the number of pipes providing the high pressure gas into the ram. Normally this value would be one.</t>
        </r>
      </text>
    </comment>
  </commentList>
</comments>
</file>

<file path=xl/comments10.xml><?xml version="1.0" encoding="utf-8"?>
<comments xmlns="http://schemas.openxmlformats.org/spreadsheetml/2006/main">
  <authors>
    <author>dcms</author>
  </authors>
  <commentList>
    <comment ref="L10" authorId="0">
      <text>
        <r>
          <rPr>
            <b/>
            <sz val="8"/>
            <rFont val="Tahoma"/>
            <family val="0"/>
          </rPr>
          <t xml:space="preserve">AB:
</t>
        </r>
        <r>
          <rPr>
            <sz val="8"/>
            <rFont val="Tahoma"/>
            <family val="2"/>
          </rPr>
          <t xml:space="preserve">This is the distance measured from the flipper pivot, to the point where the ram is attached to the flipper. </t>
        </r>
        <r>
          <rPr>
            <sz val="8"/>
            <rFont val="Tahoma"/>
            <family val="0"/>
          </rPr>
          <t xml:space="preserve">
</t>
        </r>
      </text>
    </comment>
    <comment ref="L11" authorId="0">
      <text>
        <r>
          <rPr>
            <b/>
            <sz val="8"/>
            <rFont val="Tahoma"/>
            <family val="0"/>
          </rPr>
          <t xml:space="preserve">BC:
</t>
        </r>
        <r>
          <rPr>
            <sz val="8"/>
            <rFont val="Tahoma"/>
            <family val="2"/>
          </rPr>
          <t xml:space="preserve">This is the distance from the tip of the flipper (or the point where you would flip a mass), to the point where the ram connects to the flipper. 
</t>
        </r>
        <r>
          <rPr>
            <sz val="8"/>
            <rFont val="Tahoma"/>
            <family val="0"/>
          </rPr>
          <t xml:space="preserve">
</t>
        </r>
      </text>
    </comment>
    <comment ref="L12" authorId="0">
      <text>
        <r>
          <rPr>
            <b/>
            <sz val="8"/>
            <rFont val="Tahoma"/>
            <family val="0"/>
          </rPr>
          <t xml:space="preserve">AC:
</t>
        </r>
        <r>
          <rPr>
            <sz val="8"/>
            <rFont val="Tahoma"/>
            <family val="2"/>
          </rPr>
          <t>This is the distance "as the crow flies" from the flipper pivot, to it's tip, or the point where the mass would be placed.
If the flipper is straight, this distance will be the sum of AB and BC.</t>
        </r>
        <r>
          <rPr>
            <sz val="8"/>
            <rFont val="Tahoma"/>
            <family val="0"/>
          </rPr>
          <t xml:space="preserve">
</t>
        </r>
      </text>
    </comment>
    <comment ref="L13" authorId="0">
      <text>
        <r>
          <rPr>
            <b/>
            <sz val="8"/>
            <rFont val="Tahoma"/>
            <family val="0"/>
          </rPr>
          <t xml:space="preserve">ED:
</t>
        </r>
        <r>
          <rPr>
            <sz val="8"/>
            <rFont val="Tahoma"/>
            <family val="2"/>
          </rPr>
          <t xml:space="preserve">This is the horizontal offset of the base of the ram, relative to flipper pivot.
</t>
        </r>
        <r>
          <rPr>
            <sz val="8"/>
            <rFont val="Tahoma"/>
            <family val="0"/>
          </rPr>
          <t xml:space="preserve">
</t>
        </r>
      </text>
    </comment>
    <comment ref="L14" authorId="0">
      <text>
        <r>
          <rPr>
            <b/>
            <sz val="8"/>
            <rFont val="Tahoma"/>
            <family val="0"/>
          </rPr>
          <t>AE:</t>
        </r>
        <r>
          <rPr>
            <sz val="8"/>
            <rFont val="Tahoma"/>
            <family val="0"/>
          </rPr>
          <t xml:space="preserve">
This is the vertical offset of the base of the ram, relative to flipper pivot.
</t>
        </r>
      </text>
    </comment>
    <comment ref="L15" authorId="0">
      <text>
        <r>
          <rPr>
            <b/>
            <sz val="8"/>
            <rFont val="Tahoma"/>
            <family val="0"/>
          </rPr>
          <t xml:space="preserve">DB:
</t>
        </r>
        <r>
          <rPr>
            <sz val="8"/>
            <rFont val="Tahoma"/>
            <family val="2"/>
          </rPr>
          <t xml:space="preserve">This is length of the ram when it is fully retracted. The measurements are taken from the centre of the pivot points at either end. 
</t>
        </r>
        <r>
          <rPr>
            <sz val="8"/>
            <rFont val="Tahoma"/>
            <family val="0"/>
          </rPr>
          <t xml:space="preserve">
</t>
        </r>
      </text>
    </comment>
    <comment ref="L16" authorId="0">
      <text>
        <r>
          <rPr>
            <b/>
            <sz val="8"/>
            <rFont val="Tahoma"/>
            <family val="0"/>
          </rPr>
          <t>DBB:</t>
        </r>
        <r>
          <rPr>
            <sz val="8"/>
            <rFont val="Tahoma"/>
            <family val="0"/>
          </rPr>
          <t xml:space="preserve">
The is the length of the ram when it is fully extended. The measurements are taken from the centre of the pivots at either end.
</t>
        </r>
      </text>
    </comment>
  </commentList>
</comments>
</file>

<file path=xl/comments11.xml><?xml version="1.0" encoding="utf-8"?>
<comments xmlns="http://schemas.openxmlformats.org/spreadsheetml/2006/main">
  <authors>
    <author>dcms</author>
  </authors>
  <commentList>
    <comment ref="L10" authorId="0">
      <text>
        <r>
          <rPr>
            <b/>
            <sz val="8"/>
            <rFont val="Tahoma"/>
            <family val="0"/>
          </rPr>
          <t xml:space="preserve">AB:
</t>
        </r>
        <r>
          <rPr>
            <sz val="8"/>
            <rFont val="Tahoma"/>
            <family val="2"/>
          </rPr>
          <t xml:space="preserve">This is the distance measured from the flipper pivot, to the point where the ram is attached to the flipper. </t>
        </r>
        <r>
          <rPr>
            <sz val="8"/>
            <rFont val="Tahoma"/>
            <family val="0"/>
          </rPr>
          <t xml:space="preserve">
</t>
        </r>
      </text>
    </comment>
    <comment ref="L11" authorId="0">
      <text>
        <r>
          <rPr>
            <b/>
            <sz val="8"/>
            <rFont val="Tahoma"/>
            <family val="0"/>
          </rPr>
          <t xml:space="preserve">BC:
</t>
        </r>
        <r>
          <rPr>
            <sz val="8"/>
            <rFont val="Tahoma"/>
            <family val="2"/>
          </rPr>
          <t xml:space="preserve">This is the distance from the tip of the flipper (or the point where you would flip a mass), to the point where the ram connects to the flipper. 
</t>
        </r>
        <r>
          <rPr>
            <sz val="8"/>
            <rFont val="Tahoma"/>
            <family val="0"/>
          </rPr>
          <t xml:space="preserve">
</t>
        </r>
      </text>
    </comment>
    <comment ref="L12" authorId="0">
      <text>
        <r>
          <rPr>
            <b/>
            <sz val="8"/>
            <rFont val="Tahoma"/>
            <family val="0"/>
          </rPr>
          <t xml:space="preserve">AC:
</t>
        </r>
        <r>
          <rPr>
            <sz val="8"/>
            <rFont val="Tahoma"/>
            <family val="2"/>
          </rPr>
          <t>This is the distance "as the crow flies" from the flipper pivot, to it's tip, or the point where the mass would be placed.
If the flipper is straight, this distance will be the sum of AB and BC.</t>
        </r>
        <r>
          <rPr>
            <sz val="8"/>
            <rFont val="Tahoma"/>
            <family val="0"/>
          </rPr>
          <t xml:space="preserve">
</t>
        </r>
      </text>
    </comment>
    <comment ref="L13" authorId="0">
      <text>
        <r>
          <rPr>
            <b/>
            <sz val="8"/>
            <rFont val="Tahoma"/>
            <family val="0"/>
          </rPr>
          <t xml:space="preserve">ED:
</t>
        </r>
        <r>
          <rPr>
            <sz val="8"/>
            <rFont val="Tahoma"/>
            <family val="2"/>
          </rPr>
          <t xml:space="preserve">This is the horizontal offset of the base of the ram, relative to flipper pivot.
</t>
        </r>
        <r>
          <rPr>
            <sz val="8"/>
            <rFont val="Tahoma"/>
            <family val="0"/>
          </rPr>
          <t xml:space="preserve">
</t>
        </r>
      </text>
    </comment>
    <comment ref="L14" authorId="0">
      <text>
        <r>
          <rPr>
            <b/>
            <sz val="8"/>
            <rFont val="Tahoma"/>
            <family val="0"/>
          </rPr>
          <t>AE:</t>
        </r>
        <r>
          <rPr>
            <sz val="8"/>
            <rFont val="Tahoma"/>
            <family val="0"/>
          </rPr>
          <t xml:space="preserve">
This is the vertical offset of the base of the ram, relative to flipper pivot.
</t>
        </r>
      </text>
    </comment>
    <comment ref="L15" authorId="0">
      <text>
        <r>
          <rPr>
            <b/>
            <sz val="8"/>
            <rFont val="Tahoma"/>
            <family val="0"/>
          </rPr>
          <t xml:space="preserve">DB:
</t>
        </r>
        <r>
          <rPr>
            <sz val="8"/>
            <rFont val="Tahoma"/>
            <family val="2"/>
          </rPr>
          <t xml:space="preserve">This is length of the ram when it is fully retracted. The measurements are taken from the centre of the pivot points at either end. 
</t>
        </r>
        <r>
          <rPr>
            <sz val="8"/>
            <rFont val="Tahoma"/>
            <family val="0"/>
          </rPr>
          <t xml:space="preserve">
</t>
        </r>
      </text>
    </comment>
    <comment ref="L16" authorId="0">
      <text>
        <r>
          <rPr>
            <b/>
            <sz val="8"/>
            <rFont val="Tahoma"/>
            <family val="0"/>
          </rPr>
          <t>DBB:</t>
        </r>
        <r>
          <rPr>
            <sz val="8"/>
            <rFont val="Tahoma"/>
            <family val="0"/>
          </rPr>
          <t xml:space="preserve">
The is the length of the ram when it is fully extended. The measurements are taken from the centre of the pivots at either end.
</t>
        </r>
      </text>
    </comment>
  </commentList>
</comments>
</file>

<file path=xl/comments12.xml><?xml version="1.0" encoding="utf-8"?>
<comments xmlns="http://schemas.openxmlformats.org/spreadsheetml/2006/main">
  <authors>
    <author>dcms</author>
  </authors>
  <commentList>
    <comment ref="L10" authorId="0">
      <text>
        <r>
          <rPr>
            <b/>
            <sz val="8"/>
            <rFont val="Tahoma"/>
            <family val="0"/>
          </rPr>
          <t xml:space="preserve">AB:
</t>
        </r>
        <r>
          <rPr>
            <sz val="8"/>
            <rFont val="Tahoma"/>
            <family val="2"/>
          </rPr>
          <t xml:space="preserve">This is the distance measured from the flipper pivot, to the point where the ram is attached to the flipper. </t>
        </r>
        <r>
          <rPr>
            <sz val="8"/>
            <rFont val="Tahoma"/>
            <family val="0"/>
          </rPr>
          <t xml:space="preserve">
</t>
        </r>
      </text>
    </comment>
    <comment ref="L11" authorId="0">
      <text>
        <r>
          <rPr>
            <b/>
            <sz val="8"/>
            <rFont val="Tahoma"/>
            <family val="0"/>
          </rPr>
          <t xml:space="preserve">BC:
</t>
        </r>
        <r>
          <rPr>
            <sz val="8"/>
            <rFont val="Tahoma"/>
            <family val="2"/>
          </rPr>
          <t xml:space="preserve">This is the distance from the tip of the flipper (or the point where you would flip a mass), to the point where the ram connects to the flipper. 
</t>
        </r>
        <r>
          <rPr>
            <sz val="8"/>
            <rFont val="Tahoma"/>
            <family val="0"/>
          </rPr>
          <t xml:space="preserve">
</t>
        </r>
      </text>
    </comment>
    <comment ref="L12" authorId="0">
      <text>
        <r>
          <rPr>
            <b/>
            <sz val="8"/>
            <rFont val="Tahoma"/>
            <family val="0"/>
          </rPr>
          <t xml:space="preserve">AC:
</t>
        </r>
        <r>
          <rPr>
            <sz val="8"/>
            <rFont val="Tahoma"/>
            <family val="2"/>
          </rPr>
          <t>This is the distance "as the crow flies" from the flipper pivot, to it's tip, or the point where the mass would be placed.
If the flipper is straight, this distance will be the sum of AB and BC.</t>
        </r>
        <r>
          <rPr>
            <sz val="8"/>
            <rFont val="Tahoma"/>
            <family val="0"/>
          </rPr>
          <t xml:space="preserve">
</t>
        </r>
      </text>
    </comment>
    <comment ref="L13" authorId="0">
      <text>
        <r>
          <rPr>
            <b/>
            <sz val="8"/>
            <rFont val="Tahoma"/>
            <family val="0"/>
          </rPr>
          <t xml:space="preserve">ED:
</t>
        </r>
        <r>
          <rPr>
            <sz val="8"/>
            <rFont val="Tahoma"/>
            <family val="2"/>
          </rPr>
          <t xml:space="preserve">This is the horizontal offset of the base of the ram, relative to flipper pivot.
</t>
        </r>
        <r>
          <rPr>
            <sz val="8"/>
            <rFont val="Tahoma"/>
            <family val="0"/>
          </rPr>
          <t xml:space="preserve">
</t>
        </r>
      </text>
    </comment>
    <comment ref="L14" authorId="0">
      <text>
        <r>
          <rPr>
            <b/>
            <sz val="8"/>
            <rFont val="Tahoma"/>
            <family val="0"/>
          </rPr>
          <t>AE:</t>
        </r>
        <r>
          <rPr>
            <sz val="8"/>
            <rFont val="Tahoma"/>
            <family val="0"/>
          </rPr>
          <t xml:space="preserve">
This is the vertical offset of the base of the ram, relative to flipper pivot.
</t>
        </r>
      </text>
    </comment>
    <comment ref="L15" authorId="0">
      <text>
        <r>
          <rPr>
            <b/>
            <sz val="8"/>
            <rFont val="Tahoma"/>
            <family val="0"/>
          </rPr>
          <t xml:space="preserve">DB:
</t>
        </r>
        <r>
          <rPr>
            <sz val="8"/>
            <rFont val="Tahoma"/>
            <family val="2"/>
          </rPr>
          <t xml:space="preserve">This is length of the ram when it is fully retracted. The measurements are taken from the centre of the pivot points at either end. 
</t>
        </r>
        <r>
          <rPr>
            <sz val="8"/>
            <rFont val="Tahoma"/>
            <family val="0"/>
          </rPr>
          <t xml:space="preserve">
</t>
        </r>
      </text>
    </comment>
    <comment ref="L16" authorId="0">
      <text>
        <r>
          <rPr>
            <b/>
            <sz val="8"/>
            <rFont val="Tahoma"/>
            <family val="0"/>
          </rPr>
          <t>DBB:</t>
        </r>
        <r>
          <rPr>
            <sz val="8"/>
            <rFont val="Tahoma"/>
            <family val="0"/>
          </rPr>
          <t xml:space="preserve">
The is the length of the ram when it is fully extended. The measurements are taken from the centre of the pivots at either end.
</t>
        </r>
      </text>
    </comment>
  </commentList>
</comments>
</file>

<file path=xl/comments3.xml><?xml version="1.0" encoding="utf-8"?>
<comments xmlns="http://schemas.openxmlformats.org/spreadsheetml/2006/main">
  <authors>
    <author>dcms</author>
    <author>Noel Poncelet</author>
  </authors>
  <commentList>
    <comment ref="A3" authorId="0">
      <text>
        <r>
          <rPr>
            <b/>
            <sz val="8"/>
            <rFont val="Tahoma"/>
            <family val="0"/>
          </rPr>
          <t xml:space="preserve">AB:
</t>
        </r>
        <r>
          <rPr>
            <sz val="8"/>
            <rFont val="Tahoma"/>
            <family val="2"/>
          </rPr>
          <t xml:space="preserve">This is the distance measured from the flipper pivot, to the point where the ram is attached to the flipper. </t>
        </r>
        <r>
          <rPr>
            <sz val="8"/>
            <rFont val="Tahoma"/>
            <family val="0"/>
          </rPr>
          <t xml:space="preserve">
(See flipper diagram worksheets)</t>
        </r>
      </text>
    </comment>
    <comment ref="A4" authorId="0">
      <text>
        <r>
          <rPr>
            <b/>
            <sz val="8"/>
            <rFont val="Tahoma"/>
            <family val="0"/>
          </rPr>
          <t xml:space="preserve">BC:
</t>
        </r>
        <r>
          <rPr>
            <sz val="8"/>
            <rFont val="Tahoma"/>
            <family val="2"/>
          </rPr>
          <t>This is the distance from the tip of the flipper (or the point where you would flip a mass), to the point where the ram connects to the flipper. 
(See flipper diagram worksheets)</t>
        </r>
        <r>
          <rPr>
            <sz val="8"/>
            <rFont val="Tahoma"/>
            <family val="0"/>
          </rPr>
          <t xml:space="preserve">
</t>
        </r>
      </text>
    </comment>
    <comment ref="A5" authorId="0">
      <text>
        <r>
          <rPr>
            <b/>
            <sz val="8"/>
            <rFont val="Tahoma"/>
            <family val="0"/>
          </rPr>
          <t xml:space="preserve">AC:
</t>
        </r>
        <r>
          <rPr>
            <sz val="8"/>
            <rFont val="Tahoma"/>
            <family val="2"/>
          </rPr>
          <t>This is the distance "as the crow flies" from the flipper pivot, to it's tip, or the point where the mass would be placed.
 (See flipper diagram worksheets)</t>
        </r>
        <r>
          <rPr>
            <sz val="8"/>
            <rFont val="Tahoma"/>
            <family val="0"/>
          </rPr>
          <t xml:space="preserve">
</t>
        </r>
      </text>
    </comment>
    <comment ref="A6" authorId="0">
      <text>
        <r>
          <rPr>
            <b/>
            <sz val="8"/>
            <rFont val="Tahoma"/>
            <family val="0"/>
          </rPr>
          <t xml:space="preserve">ED:
</t>
        </r>
        <r>
          <rPr>
            <sz val="8"/>
            <rFont val="Tahoma"/>
            <family val="2"/>
          </rPr>
          <t>This is the horizontal offset of the base of the ram, relative to flipper pivot.
(See flipper diagram worksheets)</t>
        </r>
        <r>
          <rPr>
            <sz val="8"/>
            <rFont val="Tahoma"/>
            <family val="0"/>
          </rPr>
          <t xml:space="preserve">
</t>
        </r>
      </text>
    </comment>
    <comment ref="A7" authorId="0">
      <text>
        <r>
          <rPr>
            <b/>
            <sz val="8"/>
            <rFont val="Tahoma"/>
            <family val="0"/>
          </rPr>
          <t>AEs:</t>
        </r>
        <r>
          <rPr>
            <sz val="8"/>
            <rFont val="Tahoma"/>
            <family val="0"/>
          </rPr>
          <t xml:space="preserve">
This is the vertical offset of the base of the ram, relative to flipper pivot.
(See flipper diagram worksheets)</t>
        </r>
      </text>
    </comment>
    <comment ref="A8" authorId="0">
      <text>
        <r>
          <rPr>
            <b/>
            <sz val="8"/>
            <rFont val="Tahoma"/>
            <family val="0"/>
          </rPr>
          <t xml:space="preserve">DB:
</t>
        </r>
        <r>
          <rPr>
            <sz val="8"/>
            <rFont val="Tahoma"/>
            <family val="2"/>
          </rPr>
          <t>This is length of the ram when it is fully retracted. The measurements are taken from the centre of the pivot points at either end. 
(See flipper diagram worksheets)</t>
        </r>
        <r>
          <rPr>
            <sz val="8"/>
            <rFont val="Tahoma"/>
            <family val="0"/>
          </rPr>
          <t xml:space="preserve">
</t>
        </r>
      </text>
    </comment>
    <comment ref="A9" authorId="0">
      <text>
        <r>
          <rPr>
            <b/>
            <sz val="8"/>
            <rFont val="Tahoma"/>
            <family val="0"/>
          </rPr>
          <t>DBB:</t>
        </r>
        <r>
          <rPr>
            <sz val="8"/>
            <rFont val="Tahoma"/>
            <family val="0"/>
          </rPr>
          <t xml:space="preserve">
The is the length of the ram when it is fully extended. The measurements are taken from the centre of the pivots at either end.
This value is calculated by adding the minimum ram length (above) to the  stroke measurement 
 from the Pneumatic components worksheets</t>
        </r>
      </text>
    </comment>
    <comment ref="A10" authorId="0">
      <text>
        <r>
          <rPr>
            <b/>
            <sz val="8"/>
            <rFont val="Tahoma"/>
            <family val="0"/>
          </rPr>
          <t>Ram force:</t>
        </r>
        <r>
          <rPr>
            <sz val="8"/>
            <rFont val="Tahoma"/>
            <family val="0"/>
          </rPr>
          <t xml:space="preserve">
This is the force exerted by the ram when at full pressure, but is not necessarily the force present at the flipper tip. The geometry of the flipper can either increase or decrease this resulting force.</t>
        </r>
      </text>
    </comment>
    <comment ref="A11" authorId="0">
      <text>
        <r>
          <rPr>
            <b/>
            <sz val="8"/>
            <rFont val="Tahoma"/>
            <family val="0"/>
          </rPr>
          <t>Flipper type:</t>
        </r>
        <r>
          <rPr>
            <sz val="8"/>
            <rFont val="Tahoma"/>
            <family val="0"/>
          </rPr>
          <t xml:space="preserve">
Select the geometry of the flipper you want to evaluate. The different types are show on the adjacent thumbnail, or in the flipper diagram worksheets.</t>
        </r>
      </text>
    </comment>
    <comment ref="D41" authorId="1">
      <text>
        <r>
          <rPr>
            <b/>
            <sz val="8"/>
            <rFont val="Tahoma"/>
            <family val="0"/>
          </rPr>
          <t xml:space="preserve">Flipper animation:
</t>
        </r>
        <r>
          <rPr>
            <sz val="8"/>
            <rFont val="Tahoma"/>
            <family val="2"/>
          </rPr>
          <t>Click the up and down arrows to animate the flipper</t>
        </r>
        <r>
          <rPr>
            <sz val="8"/>
            <rFont val="Tahoma"/>
            <family val="0"/>
          </rPr>
          <t xml:space="preserve">
</t>
        </r>
      </text>
    </comment>
  </commentList>
</comments>
</file>

<file path=xl/comments9.xml><?xml version="1.0" encoding="utf-8"?>
<comments xmlns="http://schemas.openxmlformats.org/spreadsheetml/2006/main">
  <authors>
    <author>dcms</author>
  </authors>
  <commentList>
    <comment ref="L10" authorId="0">
      <text>
        <r>
          <rPr>
            <b/>
            <sz val="8"/>
            <rFont val="Tahoma"/>
            <family val="0"/>
          </rPr>
          <t xml:space="preserve">AB:
</t>
        </r>
        <r>
          <rPr>
            <sz val="8"/>
            <rFont val="Tahoma"/>
            <family val="2"/>
          </rPr>
          <t xml:space="preserve">This is the distance measured from the flipper pivot, to the point where the ram is attached to the flipper. </t>
        </r>
        <r>
          <rPr>
            <sz val="8"/>
            <rFont val="Tahoma"/>
            <family val="0"/>
          </rPr>
          <t xml:space="preserve">
</t>
        </r>
      </text>
    </comment>
    <comment ref="L11" authorId="0">
      <text>
        <r>
          <rPr>
            <b/>
            <sz val="8"/>
            <rFont val="Tahoma"/>
            <family val="0"/>
          </rPr>
          <t xml:space="preserve">BC:
</t>
        </r>
        <r>
          <rPr>
            <sz val="8"/>
            <rFont val="Tahoma"/>
            <family val="2"/>
          </rPr>
          <t xml:space="preserve">This is the distance from the tip of the flipper (or the point where you would flip a mass), to the point where the ram connects to the flipper. 
</t>
        </r>
        <r>
          <rPr>
            <sz val="8"/>
            <rFont val="Tahoma"/>
            <family val="0"/>
          </rPr>
          <t xml:space="preserve">
</t>
        </r>
      </text>
    </comment>
    <comment ref="L12" authorId="0">
      <text>
        <r>
          <rPr>
            <b/>
            <sz val="8"/>
            <rFont val="Tahoma"/>
            <family val="0"/>
          </rPr>
          <t xml:space="preserve">AC:
</t>
        </r>
        <r>
          <rPr>
            <sz val="8"/>
            <rFont val="Tahoma"/>
            <family val="2"/>
          </rPr>
          <t>This is the distance "as the crow flies" from the flipper pivot, to it's tip, or the point where the mass would be placed.
If the flipper is straight, this distance will be the sum of AB and BC.</t>
        </r>
        <r>
          <rPr>
            <sz val="8"/>
            <rFont val="Tahoma"/>
            <family val="0"/>
          </rPr>
          <t xml:space="preserve">
</t>
        </r>
      </text>
    </comment>
    <comment ref="L13" authorId="0">
      <text>
        <r>
          <rPr>
            <b/>
            <sz val="8"/>
            <rFont val="Tahoma"/>
            <family val="0"/>
          </rPr>
          <t xml:space="preserve">ED:
</t>
        </r>
        <r>
          <rPr>
            <sz val="8"/>
            <rFont val="Tahoma"/>
            <family val="2"/>
          </rPr>
          <t xml:space="preserve">This is the horizontal offset of the base of the ram, relative to flipper pivot.
</t>
        </r>
        <r>
          <rPr>
            <sz val="8"/>
            <rFont val="Tahoma"/>
            <family val="0"/>
          </rPr>
          <t xml:space="preserve">
</t>
        </r>
      </text>
    </comment>
    <comment ref="L14" authorId="0">
      <text>
        <r>
          <rPr>
            <b/>
            <sz val="8"/>
            <rFont val="Tahoma"/>
            <family val="0"/>
          </rPr>
          <t>AE:</t>
        </r>
        <r>
          <rPr>
            <sz val="8"/>
            <rFont val="Tahoma"/>
            <family val="0"/>
          </rPr>
          <t xml:space="preserve">
This is the vertical offset of the base of the ram, relative to flipper pivot.
</t>
        </r>
      </text>
    </comment>
    <comment ref="L15" authorId="0">
      <text>
        <r>
          <rPr>
            <b/>
            <sz val="8"/>
            <rFont val="Tahoma"/>
            <family val="0"/>
          </rPr>
          <t xml:space="preserve">DB:
</t>
        </r>
        <r>
          <rPr>
            <sz val="8"/>
            <rFont val="Tahoma"/>
            <family val="2"/>
          </rPr>
          <t xml:space="preserve">This is length of the ram when it is fully retracted. The measurements are taken from the centre of the pivot points at either end. 
</t>
        </r>
        <r>
          <rPr>
            <sz val="8"/>
            <rFont val="Tahoma"/>
            <family val="0"/>
          </rPr>
          <t xml:space="preserve">
</t>
        </r>
      </text>
    </comment>
    <comment ref="L16" authorId="0">
      <text>
        <r>
          <rPr>
            <b/>
            <sz val="8"/>
            <rFont val="Tahoma"/>
            <family val="0"/>
          </rPr>
          <t>DBB:</t>
        </r>
        <r>
          <rPr>
            <sz val="8"/>
            <rFont val="Tahoma"/>
            <family val="0"/>
          </rPr>
          <t xml:space="preserve">
The is the length of the ram when it is fully extended. The measurements are taken from the centre of the pivots at either end.
</t>
        </r>
      </text>
    </comment>
  </commentList>
</comments>
</file>

<file path=xl/sharedStrings.xml><?xml version="1.0" encoding="utf-8"?>
<sst xmlns="http://schemas.openxmlformats.org/spreadsheetml/2006/main" count="284" uniqueCount="167">
  <si>
    <t>bars</t>
  </si>
  <si>
    <t>litres/min</t>
  </si>
  <si>
    <t>litres</t>
  </si>
  <si>
    <t>mm</t>
  </si>
  <si>
    <t>pipe inside diameter</t>
  </si>
  <si>
    <t>m</t>
  </si>
  <si>
    <t>ram bore</t>
  </si>
  <si>
    <t>ram stroke</t>
  </si>
  <si>
    <t>Number of rams</t>
  </si>
  <si>
    <t>kg</t>
  </si>
  <si>
    <t>time increment</t>
  </si>
  <si>
    <t>sec</t>
  </si>
  <si>
    <t>Pc due to Fv</t>
  </si>
  <si>
    <t>Equil Pc (bars)</t>
  </si>
  <si>
    <t>Pc real (bars)</t>
  </si>
  <si>
    <t>gas out of tank (l)</t>
  </si>
  <si>
    <t>Volume of gas into buffer tank (l)</t>
  </si>
  <si>
    <t>Pressure in buffer tank (bars)</t>
  </si>
  <si>
    <t>Acceleration of mass (m/sec2)</t>
  </si>
  <si>
    <t>Height of tip on flipper (m)</t>
  </si>
  <si>
    <t>Height of mass in free fall (m)</t>
  </si>
  <si>
    <t>Velocity of mass (m)</t>
  </si>
  <si>
    <t>ram extension (m)</t>
  </si>
  <si>
    <t>lift off ?</t>
  </si>
  <si>
    <t>Max velocity (m/sec)</t>
  </si>
  <si>
    <t>Max height above flipper (m)</t>
  </si>
  <si>
    <t>Max height above ground (m)</t>
  </si>
  <si>
    <t>Max weight lifted</t>
  </si>
  <si>
    <t>time to lift off (sec)</t>
  </si>
  <si>
    <t>time from lift off to max height</t>
  </si>
  <si>
    <t>ram csa</t>
  </si>
  <si>
    <t>m2</t>
  </si>
  <si>
    <t>regulator flow rate</t>
  </si>
  <si>
    <t>l/sec</t>
  </si>
  <si>
    <t>valve flow rate</t>
  </si>
  <si>
    <t>flipper mech adv</t>
  </si>
  <si>
    <t>pipe flow rate</t>
  </si>
  <si>
    <t>l/min</t>
  </si>
  <si>
    <t>pipe volume</t>
  </si>
  <si>
    <t>reg upper cut out</t>
  </si>
  <si>
    <t>reg lower cut in</t>
  </si>
  <si>
    <t>max flipper tip height</t>
  </si>
  <si>
    <t>Theoretical Air Flow (litres/sec of free air through nylon tuning for an air velocity of 30m/sec</t>
  </si>
  <si>
    <t>Tube size</t>
  </si>
  <si>
    <t>Line Pressure (barg)</t>
  </si>
  <si>
    <t>O/D</t>
  </si>
  <si>
    <t>I/D</t>
  </si>
  <si>
    <t>Narrower graph</t>
  </si>
  <si>
    <t>Wider graph</t>
  </si>
  <si>
    <t>buffer tank volume</t>
  </si>
  <si>
    <t>System variables</t>
  </si>
  <si>
    <t>m/sec</t>
  </si>
  <si>
    <t xml:space="preserve">m </t>
  </si>
  <si>
    <t xml:space="preserve">Max velocity </t>
  </si>
  <si>
    <t xml:space="preserve">Max height above flipper </t>
  </si>
  <si>
    <t xml:space="preserve">Max height above ground </t>
  </si>
  <si>
    <t>%</t>
  </si>
  <si>
    <t>Regulator variation</t>
  </si>
  <si>
    <t>Mass to throw (M)</t>
  </si>
  <si>
    <t>Regulator flow (Fr)</t>
  </si>
  <si>
    <t>Buffer tank volume (Vt)</t>
  </si>
  <si>
    <t>Pipe outside diameter</t>
  </si>
  <si>
    <t>Pipe inside diameter</t>
  </si>
  <si>
    <t>Pipe length</t>
  </si>
  <si>
    <t>Ram bore</t>
  </si>
  <si>
    <t>Ram stroke</t>
  </si>
  <si>
    <t xml:space="preserve">Time to lift off </t>
  </si>
  <si>
    <t>Lift off to max height time</t>
  </si>
  <si>
    <t>.</t>
  </si>
  <si>
    <t>Friction effects ignored</t>
  </si>
  <si>
    <t>Air drag on flipper ignored</t>
  </si>
  <si>
    <t>Pressure drop in main gas resevoir assumed to be zero</t>
  </si>
  <si>
    <t>Assumtions used during the calculations of the flipper performance</t>
  </si>
  <si>
    <t>Mass comes off flipper when flipper reaches the end of its travel</t>
  </si>
  <si>
    <t>"Flow rate" of valve entered is used irespective of whether the pipe size selected is too small to sustain the flow</t>
  </si>
  <si>
    <t>Mass of flipper (Mf)</t>
  </si>
  <si>
    <t>Mass of flipper</t>
  </si>
  <si>
    <t>Kg</t>
  </si>
  <si>
    <t>ram operation</t>
  </si>
  <si>
    <t>Ram operation</t>
  </si>
  <si>
    <t>single</t>
  </si>
  <si>
    <t>double</t>
  </si>
  <si>
    <t>sided</t>
  </si>
  <si>
    <t>Gas bottle capacity</t>
  </si>
  <si>
    <t>Gas bottle pressure</t>
  </si>
  <si>
    <t>Regulated pressure (Pb)</t>
  </si>
  <si>
    <t>CO2 atmosphers in bottle</t>
  </si>
  <si>
    <t>Gas bottle volume</t>
  </si>
  <si>
    <t>Single or double acting</t>
  </si>
  <si>
    <t>Volume used each stroke</t>
  </si>
  <si>
    <t>Volume used on both stokes</t>
  </si>
  <si>
    <t>Total number of flips</t>
  </si>
  <si>
    <t>Gas reservoir size</t>
  </si>
  <si>
    <t>Max flips per bottle</t>
  </si>
  <si>
    <t>Flipper pivot to ram length</t>
  </si>
  <si>
    <t>AB</t>
  </si>
  <si>
    <t>Flipper ram to tip length</t>
  </si>
  <si>
    <t>BC</t>
  </si>
  <si>
    <t>Flipper pivot to tip length</t>
  </si>
  <si>
    <t>AC</t>
  </si>
  <si>
    <t>Ram base horizontal offset</t>
  </si>
  <si>
    <t>ED</t>
  </si>
  <si>
    <t>Ram base vertical offset</t>
  </si>
  <si>
    <t>AE</t>
  </si>
  <si>
    <t>Ram length (minimum)</t>
  </si>
  <si>
    <t>DB</t>
  </si>
  <si>
    <t>Ram length (maximum)</t>
  </si>
  <si>
    <t>DBB</t>
  </si>
  <si>
    <t>Ram force</t>
  </si>
  <si>
    <t>RamForce</t>
  </si>
  <si>
    <t>Flipper angle rads (CAF)</t>
  </si>
  <si>
    <t>Ram length</t>
  </si>
  <si>
    <t>Flipper tip height</t>
  </si>
  <si>
    <t>Flipper tip horizontal position</t>
  </si>
  <si>
    <t>Ram moment (AH)</t>
  </si>
  <si>
    <t>Ram tip force</t>
  </si>
  <si>
    <t>Type A</t>
  </si>
  <si>
    <t>Type B</t>
  </si>
  <si>
    <t>Type C</t>
  </si>
  <si>
    <t>Type D</t>
  </si>
  <si>
    <t>Initial calculated values</t>
  </si>
  <si>
    <t>AD</t>
  </si>
  <si>
    <t>DAB</t>
  </si>
  <si>
    <t>rads</t>
  </si>
  <si>
    <t>EAD</t>
  </si>
  <si>
    <t>BAC</t>
  </si>
  <si>
    <t>CAF</t>
  </si>
  <si>
    <t>FC</t>
  </si>
  <si>
    <t>=BGsign</t>
  </si>
  <si>
    <t>=EDsign</t>
  </si>
  <si>
    <t>Minimum flipper tip height</t>
  </si>
  <si>
    <t>Normalised Max flipper height</t>
  </si>
  <si>
    <t>Force of ram (Newtons)</t>
  </si>
  <si>
    <t>Ram tip vertical Force (Newtons)</t>
  </si>
  <si>
    <t>Back pressure (PQ)</t>
  </si>
  <si>
    <t xml:space="preserve">Back pressure </t>
  </si>
  <si>
    <t>Exhaust side of ram assumed to have a constant flow rate via Quick exhaust valve</t>
  </si>
  <si>
    <t>The flipper is assumed to be rigid</t>
  </si>
  <si>
    <t>Back pressure</t>
  </si>
  <si>
    <t>Flipper geometry type</t>
  </si>
  <si>
    <t xml:space="preserve">The thick line is the flipper, </t>
  </si>
  <si>
    <t>Enter the following:</t>
  </si>
  <si>
    <t xml:space="preserve">which pivots at point A </t>
  </si>
  <si>
    <t>Enter these values</t>
  </si>
  <si>
    <t>Flipper angle degrees (CAF)</t>
  </si>
  <si>
    <t>Ram base Y pos</t>
  </si>
  <si>
    <t>Ram base X pos</t>
  </si>
  <si>
    <t>Ram tip Y pos</t>
  </si>
  <si>
    <t>Ram tip X pos</t>
  </si>
  <si>
    <t>flipper tip Y pos</t>
  </si>
  <si>
    <t>flipper tip X pos</t>
  </si>
  <si>
    <t>flippper base Y pos</t>
  </si>
  <si>
    <t>flipper base X pos</t>
  </si>
  <si>
    <t>ADE</t>
  </si>
  <si>
    <t>=EADsign</t>
  </si>
  <si>
    <t>=DABsign</t>
  </si>
  <si>
    <t>=BACsign</t>
  </si>
  <si>
    <t>=ADEsign</t>
  </si>
  <si>
    <t>=PIsign</t>
  </si>
  <si>
    <t>Ram vertical height (BJ)</t>
  </si>
  <si>
    <t>Ram horizontal length (DJ)</t>
  </si>
  <si>
    <t>Flipper tip horz. length (AF)</t>
  </si>
  <si>
    <t>Flipper tip vert.  length (FC)</t>
  </si>
  <si>
    <t>Move flipper</t>
  </si>
  <si>
    <t>Ram angle from vert. (deg)</t>
  </si>
  <si>
    <t>No of pipes feeding ram</t>
  </si>
  <si>
    <t>Combined valve flow (Fv)</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</si>
</sst>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 numFmtId="176" formatCode="0.0"/>
    <numFmt numFmtId="177" formatCode="0.0000000"/>
    <numFmt numFmtId="178" formatCode="0.0E+00"/>
    <numFmt numFmtId="179" formatCode="0E+00"/>
    <numFmt numFmtId="180" formatCode="0.00000000"/>
    <numFmt numFmtId="181" formatCode="0.000000000"/>
  </numFmts>
  <fonts count="28">
    <font>
      <sz val="10"/>
      <name val="Tahoma"/>
      <family val="0"/>
    </font>
    <font>
      <b/>
      <sz val="10"/>
      <name val="Arial"/>
      <family val="0"/>
    </font>
    <font>
      <i/>
      <sz val="10"/>
      <name val="Arial"/>
      <family val="0"/>
    </font>
    <font>
      <b/>
      <i/>
      <sz val="10"/>
      <name val="Arial"/>
      <family val="0"/>
    </font>
    <font>
      <b/>
      <sz val="10"/>
      <name val="Tahoma"/>
      <family val="0"/>
    </font>
    <font>
      <sz val="11"/>
      <name val="Arial"/>
      <family val="0"/>
    </font>
    <font>
      <b/>
      <sz val="11"/>
      <name val="Arial"/>
      <family val="0"/>
    </font>
    <font>
      <b/>
      <sz val="9.5"/>
      <name val="Arial"/>
      <family val="0"/>
    </font>
    <font>
      <sz val="9.5"/>
      <name val="Arial"/>
      <family val="0"/>
    </font>
    <font>
      <sz val="8.75"/>
      <name val="Arial"/>
      <family val="0"/>
    </font>
    <font>
      <b/>
      <sz val="9.75"/>
      <name val="Arial"/>
      <family val="0"/>
    </font>
    <font>
      <sz val="9.75"/>
      <name val="Arial"/>
      <family val="0"/>
    </font>
    <font>
      <sz val="10"/>
      <name val="Arial"/>
      <family val="0"/>
    </font>
    <font>
      <sz val="8"/>
      <name val="Arial"/>
      <family val="0"/>
    </font>
    <font>
      <b/>
      <sz val="10"/>
      <color indexed="10"/>
      <name val="Tahoma"/>
      <family val="2"/>
    </font>
    <font>
      <sz val="8"/>
      <name val="Tahoma"/>
      <family val="0"/>
    </font>
    <font>
      <b/>
      <sz val="8"/>
      <name val="Tahoma"/>
      <family val="0"/>
    </font>
    <font>
      <b/>
      <sz val="12"/>
      <name val="Tahoma"/>
      <family val="2"/>
    </font>
    <font>
      <sz val="2.5"/>
      <name val="Arial"/>
      <family val="0"/>
    </font>
    <font>
      <b/>
      <sz val="2.5"/>
      <name val="Arial"/>
      <family val="0"/>
    </font>
    <font>
      <sz val="10"/>
      <color indexed="10"/>
      <name val="Arial"/>
      <family val="2"/>
    </font>
    <font>
      <b/>
      <sz val="8"/>
      <name val="Arial"/>
      <family val="0"/>
    </font>
    <font>
      <sz val="5.5"/>
      <name val="Arial"/>
      <family val="0"/>
    </font>
    <font>
      <b/>
      <sz val="8.25"/>
      <name val="Arial"/>
      <family val="0"/>
    </font>
    <font>
      <b/>
      <sz val="5.25"/>
      <name val="Arial"/>
      <family val="0"/>
    </font>
    <font>
      <b/>
      <sz val="10"/>
      <color indexed="12"/>
      <name val="Arial"/>
      <family val="2"/>
    </font>
    <font>
      <sz val="5"/>
      <name val="Arial"/>
      <family val="0"/>
    </font>
    <font>
      <b/>
      <sz val="10.25"/>
      <name val="Arial"/>
      <family val="0"/>
    </font>
  </fonts>
  <fills count="9">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5"/>
        <bgColor indexed="64"/>
      </patternFill>
    </fill>
    <fill>
      <patternFill patternType="solid">
        <fgColor indexed="50"/>
        <bgColor indexed="64"/>
      </patternFill>
    </fill>
    <fill>
      <patternFill patternType="solid">
        <fgColor indexed="43"/>
        <bgColor indexed="64"/>
      </patternFill>
    </fill>
  </fills>
  <borders count="1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 fillId="0" borderId="0">
      <alignment/>
      <protection/>
    </xf>
    <xf numFmtId="9" fontId="1" fillId="0" borderId="0" applyFont="0" applyFill="0" applyBorder="0" applyAlignment="0" applyProtection="0"/>
  </cellStyleXfs>
  <cellXfs count="117">
    <xf numFmtId="0" fontId="0" fillId="0" borderId="0" xfId="0" applyAlignment="1">
      <alignment/>
    </xf>
    <xf numFmtId="2"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4"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0" borderId="0" xfId="0" applyFill="1" applyBorder="1" applyAlignment="1">
      <alignment/>
    </xf>
    <xf numFmtId="0" fontId="0" fillId="4" borderId="4" xfId="0" applyFill="1" applyBorder="1" applyAlignment="1">
      <alignment/>
    </xf>
    <xf numFmtId="0" fontId="0" fillId="4" borderId="6"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14" fillId="0" borderId="0" xfId="0" applyFont="1" applyAlignment="1">
      <alignment/>
    </xf>
    <xf numFmtId="0" fontId="0" fillId="0" borderId="0" xfId="0"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17" fillId="0" borderId="0" xfId="0" applyFont="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1" fontId="0" fillId="0" borderId="0" xfId="0" applyNumberFormat="1" applyAlignment="1">
      <alignment/>
    </xf>
    <xf numFmtId="2" fontId="0" fillId="6" borderId="10" xfId="0" applyNumberFormat="1" applyFill="1" applyBorder="1" applyAlignment="1">
      <alignment/>
    </xf>
    <xf numFmtId="2" fontId="0" fillId="6" borderId="11" xfId="0" applyNumberFormat="1" applyFill="1" applyBorder="1" applyAlignment="1">
      <alignment/>
    </xf>
    <xf numFmtId="1" fontId="0" fillId="6" borderId="12" xfId="0" applyNumberFormat="1" applyFill="1" applyBorder="1" applyAlignment="1">
      <alignment/>
    </xf>
    <xf numFmtId="0" fontId="12" fillId="0" borderId="0" xfId="19">
      <alignment/>
      <protection/>
    </xf>
    <xf numFmtId="0" fontId="12" fillId="5" borderId="4" xfId="19" applyFill="1" applyBorder="1">
      <alignment/>
      <protection/>
    </xf>
    <xf numFmtId="0" fontId="12" fillId="5" borderId="5" xfId="19" applyFill="1" applyBorder="1">
      <alignment/>
      <protection/>
    </xf>
    <xf numFmtId="0" fontId="12" fillId="5" borderId="6" xfId="19" applyFill="1" applyBorder="1">
      <alignment/>
      <protection/>
    </xf>
    <xf numFmtId="174" fontId="12" fillId="2" borderId="4" xfId="19" applyNumberFormat="1" applyFill="1" applyBorder="1">
      <alignment/>
      <protection/>
    </xf>
    <xf numFmtId="174" fontId="12" fillId="2" borderId="5" xfId="19" applyNumberFormat="1" applyFill="1" applyBorder="1">
      <alignment/>
      <protection/>
    </xf>
    <xf numFmtId="174" fontId="12" fillId="2" borderId="6" xfId="19" applyNumberFormat="1" applyFill="1" applyBorder="1">
      <alignment/>
      <protection/>
    </xf>
    <xf numFmtId="0" fontId="12" fillId="0" borderId="0" xfId="19" applyFont="1" quotePrefix="1">
      <alignment/>
      <protection/>
    </xf>
    <xf numFmtId="0" fontId="0" fillId="2" borderId="6" xfId="0" applyFill="1" applyBorder="1" applyAlignment="1" applyProtection="1">
      <alignment/>
      <protection locked="0"/>
    </xf>
    <xf numFmtId="0" fontId="12" fillId="2" borderId="0" xfId="19" applyFill="1" applyBorder="1">
      <alignment/>
      <protection/>
    </xf>
    <xf numFmtId="2" fontId="0" fillId="2" borderId="0" xfId="0" applyNumberFormat="1" applyFill="1" applyAlignment="1">
      <alignment/>
    </xf>
    <xf numFmtId="0" fontId="0" fillId="2" borderId="0" xfId="0" applyFill="1" applyAlignment="1">
      <alignment/>
    </xf>
    <xf numFmtId="0" fontId="12" fillId="2" borderId="0" xfId="19" applyFill="1">
      <alignment/>
      <protection/>
    </xf>
    <xf numFmtId="174" fontId="12" fillId="2" borderId="0" xfId="19" applyNumberFormat="1" applyFill="1">
      <alignment/>
      <protection/>
    </xf>
    <xf numFmtId="0" fontId="12" fillId="2" borderId="0" xfId="19" applyFont="1" applyFill="1">
      <alignment/>
      <protection/>
    </xf>
    <xf numFmtId="2" fontId="12" fillId="2" borderId="0" xfId="19" applyNumberFormat="1" applyFill="1">
      <alignment/>
      <protection/>
    </xf>
    <xf numFmtId="2" fontId="12" fillId="6" borderId="6" xfId="19" applyNumberFormat="1" applyFill="1" applyBorder="1" applyProtection="1">
      <alignment/>
      <protection/>
    </xf>
    <xf numFmtId="0" fontId="12" fillId="0" borderId="0" xfId="19" applyProtection="1">
      <alignment/>
      <protection/>
    </xf>
    <xf numFmtId="0" fontId="12" fillId="0" borderId="0" xfId="19" applyFill="1" applyProtection="1">
      <alignment/>
      <protection/>
    </xf>
    <xf numFmtId="0" fontId="12" fillId="5" borderId="10" xfId="19" applyFont="1" applyFill="1" applyBorder="1" applyProtection="1">
      <alignment/>
      <protection/>
    </xf>
    <xf numFmtId="0" fontId="12" fillId="5" borderId="13" xfId="19" applyFill="1" applyBorder="1" applyProtection="1">
      <alignment/>
      <protection/>
    </xf>
    <xf numFmtId="0" fontId="12" fillId="5" borderId="4" xfId="19" applyFill="1" applyBorder="1" applyProtection="1">
      <alignment/>
      <protection/>
    </xf>
    <xf numFmtId="0" fontId="12" fillId="0" borderId="0" xfId="19" applyFill="1" applyBorder="1" applyProtection="1">
      <alignment/>
      <protection/>
    </xf>
    <xf numFmtId="174" fontId="12" fillId="0" borderId="0" xfId="19" applyNumberFormat="1" applyFill="1" applyBorder="1" applyProtection="1">
      <alignment/>
      <protection/>
    </xf>
    <xf numFmtId="0" fontId="12" fillId="5" borderId="11" xfId="19" applyFill="1" applyBorder="1" applyProtection="1">
      <alignment/>
      <protection/>
    </xf>
    <xf numFmtId="0" fontId="12" fillId="5" borderId="1" xfId="19" applyFill="1" applyBorder="1" applyProtection="1">
      <alignment/>
      <protection/>
    </xf>
    <xf numFmtId="0" fontId="12" fillId="5" borderId="5" xfId="19" applyFill="1" applyBorder="1" applyProtection="1">
      <alignment/>
      <protection/>
    </xf>
    <xf numFmtId="174" fontId="12" fillId="0" borderId="0" xfId="19" applyNumberFormat="1" applyProtection="1">
      <alignment/>
      <protection/>
    </xf>
    <xf numFmtId="0" fontId="12" fillId="5" borderId="12" xfId="19" applyFill="1" applyBorder="1" applyProtection="1">
      <alignment/>
      <protection/>
    </xf>
    <xf numFmtId="0" fontId="12" fillId="5" borderId="3" xfId="19" applyFill="1" applyBorder="1" applyProtection="1">
      <alignment/>
      <protection/>
    </xf>
    <xf numFmtId="0" fontId="12" fillId="5" borderId="6" xfId="19" applyFont="1" applyFill="1" applyBorder="1" applyProtection="1">
      <alignment/>
      <protection/>
    </xf>
    <xf numFmtId="0" fontId="20" fillId="0" borderId="0" xfId="19" applyFont="1" applyFill="1" applyBorder="1" applyProtection="1">
      <alignment/>
      <protection/>
    </xf>
    <xf numFmtId="0" fontId="12" fillId="0" borderId="0" xfId="19" applyBorder="1" applyProtection="1">
      <alignment/>
      <protection/>
    </xf>
    <xf numFmtId="2" fontId="12" fillId="0" borderId="0" xfId="19" applyNumberFormat="1" applyProtection="1">
      <alignment/>
      <protection/>
    </xf>
    <xf numFmtId="0" fontId="12" fillId="0" borderId="0" xfId="19" applyFont="1" applyProtection="1">
      <alignment/>
      <protection/>
    </xf>
    <xf numFmtId="177" fontId="12" fillId="0" borderId="0" xfId="19" applyNumberFormat="1" applyProtection="1">
      <alignment/>
      <protection/>
    </xf>
    <xf numFmtId="0" fontId="12" fillId="0" borderId="0" xfId="19" applyBorder="1">
      <alignment/>
      <protection/>
    </xf>
    <xf numFmtId="0" fontId="1" fillId="5" borderId="10" xfId="19" applyFont="1" applyFill="1" applyBorder="1">
      <alignment/>
      <protection/>
    </xf>
    <xf numFmtId="0" fontId="1" fillId="5" borderId="14" xfId="19" applyFont="1" applyFill="1" applyBorder="1">
      <alignment/>
      <protection/>
    </xf>
    <xf numFmtId="0" fontId="12" fillId="5" borderId="13" xfId="19" applyFill="1" applyBorder="1">
      <alignment/>
      <protection/>
    </xf>
    <xf numFmtId="0" fontId="1" fillId="5" borderId="11" xfId="19" applyFont="1" applyFill="1" applyBorder="1">
      <alignment/>
      <protection/>
    </xf>
    <xf numFmtId="0" fontId="1" fillId="5" borderId="0" xfId="19" applyFont="1" applyFill="1" applyBorder="1">
      <alignment/>
      <protection/>
    </xf>
    <xf numFmtId="0" fontId="12" fillId="5" borderId="1" xfId="19" applyFill="1" applyBorder="1">
      <alignment/>
      <protection/>
    </xf>
    <xf numFmtId="0" fontId="12" fillId="5" borderId="11" xfId="19" applyFont="1" applyFill="1" applyBorder="1" applyProtection="1">
      <alignment/>
      <protection/>
    </xf>
    <xf numFmtId="0" fontId="12" fillId="5" borderId="0" xfId="19" applyFont="1" applyFill="1" applyBorder="1" applyProtection="1">
      <alignment/>
      <protection/>
    </xf>
    <xf numFmtId="0" fontId="12" fillId="5" borderId="0" xfId="19" applyFill="1" applyBorder="1" applyProtection="1">
      <alignment/>
      <protection/>
    </xf>
    <xf numFmtId="0" fontId="12" fillId="5" borderId="12" xfId="19" applyFont="1" applyFill="1" applyBorder="1" applyProtection="1">
      <alignment/>
      <protection/>
    </xf>
    <xf numFmtId="0" fontId="12" fillId="5" borderId="2" xfId="19" applyFill="1" applyBorder="1" applyProtection="1">
      <alignment/>
      <protection/>
    </xf>
    <xf numFmtId="0" fontId="12" fillId="5" borderId="3" xfId="19" applyFill="1" applyBorder="1">
      <alignment/>
      <protection/>
    </xf>
    <xf numFmtId="0" fontId="12" fillId="2" borderId="14" xfId="19" applyFill="1" applyBorder="1" applyAlignment="1">
      <alignment horizontal="left"/>
      <protection/>
    </xf>
    <xf numFmtId="0" fontId="12" fillId="2" borderId="13" xfId="19" applyFill="1" applyBorder="1" applyAlignment="1">
      <alignment horizontal="left"/>
      <protection/>
    </xf>
    <xf numFmtId="0" fontId="12" fillId="2" borderId="0" xfId="19" applyFill="1" applyBorder="1" applyAlignment="1">
      <alignment horizontal="left"/>
      <protection/>
    </xf>
    <xf numFmtId="0" fontId="12" fillId="2" borderId="1" xfId="19" applyFill="1" applyBorder="1" applyAlignment="1">
      <alignment horizontal="left"/>
      <protection/>
    </xf>
    <xf numFmtId="0" fontId="12" fillId="2" borderId="12" xfId="19" applyFill="1" applyBorder="1">
      <alignment/>
      <protection/>
    </xf>
    <xf numFmtId="0" fontId="12" fillId="2" borderId="2" xfId="19" applyFill="1" applyBorder="1">
      <alignment/>
      <protection/>
    </xf>
    <xf numFmtId="0" fontId="12" fillId="2" borderId="3" xfId="19" applyFill="1" applyBorder="1">
      <alignment/>
      <protection/>
    </xf>
    <xf numFmtId="0" fontId="25" fillId="2" borderId="10" xfId="19" applyFont="1" applyFill="1" applyBorder="1" applyAlignment="1">
      <alignment horizontal="left"/>
      <protection/>
    </xf>
    <xf numFmtId="0" fontId="25" fillId="2" borderId="11" xfId="19" applyFont="1" applyFill="1" applyBorder="1" applyAlignment="1">
      <alignment horizontal="left"/>
      <protection/>
    </xf>
    <xf numFmtId="0" fontId="12" fillId="6" borderId="5" xfId="19" applyFill="1" applyBorder="1" applyProtection="1">
      <alignment/>
      <protection/>
    </xf>
    <xf numFmtId="174" fontId="12" fillId="7" borderId="7" xfId="19" applyNumberFormat="1" applyFill="1" applyBorder="1" applyProtection="1">
      <alignment/>
      <protection/>
    </xf>
    <xf numFmtId="174" fontId="12" fillId="7" borderId="9" xfId="19" applyNumberFormat="1" applyFill="1" applyBorder="1" applyProtection="1">
      <alignment/>
      <protection/>
    </xf>
    <xf numFmtId="174" fontId="12" fillId="8" borderId="7" xfId="19" applyNumberFormat="1" applyFill="1" applyBorder="1" applyProtection="1">
      <alignment/>
      <protection/>
    </xf>
    <xf numFmtId="174" fontId="12" fillId="8" borderId="9" xfId="19" applyNumberFormat="1" applyFill="1" applyBorder="1" applyProtection="1">
      <alignment/>
      <protection/>
    </xf>
    <xf numFmtId="0" fontId="12" fillId="7" borderId="7" xfId="19" applyFill="1" applyBorder="1" applyProtection="1">
      <alignment/>
      <protection/>
    </xf>
    <xf numFmtId="0" fontId="12" fillId="7" borderId="9" xfId="19" applyFill="1" applyBorder="1" applyProtection="1">
      <alignment/>
      <protection/>
    </xf>
    <xf numFmtId="0" fontId="12" fillId="8" borderId="7" xfId="19" applyFill="1" applyBorder="1" applyProtection="1">
      <alignment/>
      <protection/>
    </xf>
    <xf numFmtId="0" fontId="12" fillId="8" borderId="9" xfId="19" applyFill="1" applyBorder="1" applyProtection="1">
      <alignment/>
      <protection/>
    </xf>
    <xf numFmtId="174" fontId="12" fillId="7" borderId="8" xfId="19" applyNumberFormat="1" applyFill="1" applyBorder="1" applyProtection="1">
      <alignment/>
      <protection/>
    </xf>
    <xf numFmtId="174" fontId="12" fillId="8" borderId="8" xfId="19" applyNumberFormat="1" applyFill="1" applyBorder="1" applyProtection="1">
      <alignment/>
      <protection/>
    </xf>
    <xf numFmtId="2" fontId="12" fillId="2" borderId="5" xfId="19" applyNumberFormat="1" applyFill="1" applyBorder="1" applyProtection="1">
      <alignment/>
      <protection locked="0"/>
    </xf>
    <xf numFmtId="2" fontId="12" fillId="2" borderId="4" xfId="19" applyNumberFormat="1" applyFont="1" applyFill="1" applyBorder="1" applyProtection="1">
      <alignment/>
      <protection locked="0"/>
    </xf>
    <xf numFmtId="1" fontId="12" fillId="0" borderId="0" xfId="19" applyNumberFormat="1" applyProtection="1">
      <alignment/>
      <protection/>
    </xf>
    <xf numFmtId="0" fontId="12" fillId="0" borderId="0" xfId="19" applyProtection="1">
      <alignment/>
      <protection locked="0"/>
    </xf>
    <xf numFmtId="174" fontId="12" fillId="0" borderId="0" xfId="19" applyNumberFormat="1" applyFont="1" applyProtection="1">
      <alignment/>
      <protection/>
    </xf>
    <xf numFmtId="0" fontId="4" fillId="0" borderId="10"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12" fillId="0" borderId="10" xfId="19" applyFont="1" applyBorder="1" applyAlignment="1" applyProtection="1">
      <alignment horizontal="center"/>
      <protection/>
    </xf>
    <xf numFmtId="0" fontId="12" fillId="0" borderId="14" xfId="19" applyBorder="1" applyAlignment="1" applyProtection="1">
      <alignment horizontal="center"/>
      <protection/>
    </xf>
    <xf numFmtId="0" fontId="12" fillId="0" borderId="13" xfId="19" applyBorder="1" applyAlignment="1" applyProtection="1">
      <alignment horizontal="center"/>
      <protection/>
    </xf>
    <xf numFmtId="0" fontId="12" fillId="0" borderId="0" xfId="19" applyFill="1" applyBorder="1" applyAlignment="1" applyProtection="1">
      <alignment horizontal="center"/>
      <protection/>
    </xf>
    <xf numFmtId="0" fontId="12" fillId="0" borderId="10" xfId="19" applyBorder="1" applyAlignment="1">
      <alignment horizontal="center"/>
      <protection/>
    </xf>
    <xf numFmtId="0" fontId="12" fillId="0" borderId="14" xfId="19" applyBorder="1" applyAlignment="1">
      <alignment horizontal="center"/>
      <protection/>
    </xf>
    <xf numFmtId="0" fontId="12" fillId="0" borderId="13" xfId="19" applyBorder="1" applyAlignment="1">
      <alignment horizontal="center"/>
      <protection/>
    </xf>
    <xf numFmtId="175" fontId="0" fillId="0" borderId="0" xfId="0" applyNumberFormat="1" applyAlignment="1">
      <alignment/>
    </xf>
    <xf numFmtId="174" fontId="0" fillId="0" borderId="0" xfId="0" applyNumberFormat="1" applyAlignment="1">
      <alignment/>
    </xf>
  </cellXfs>
  <cellStyles count="7">
    <cellStyle name="Normal" xfId="0"/>
    <cellStyle name="Comma" xfId="15"/>
    <cellStyle name="Comma [0]" xfId="16"/>
    <cellStyle name="Currency" xfId="17"/>
    <cellStyle name="Currency [0]" xfId="18"/>
    <cellStyle name="Normal_complex ram geometr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8875"/>
          <c:w val="0.90475"/>
          <c:h val="0.7325"/>
        </c:manualLayout>
      </c:layout>
      <c:lineChart>
        <c:grouping val="standard"/>
        <c:varyColors val="0"/>
        <c:ser>
          <c:idx val="0"/>
          <c:order val="0"/>
          <c:tx>
            <c:v>Flipper height</c:v>
          </c:tx>
          <c:extLst>
            <c:ext xmlns:c14="http://schemas.microsoft.com/office/drawing/2007/8/2/chart" uri="{6F2FDCE9-48DA-4B69-8628-5D25D57E5C99}">
              <c14:invertSolidFillFmt>
                <c14:spPr>
                  <a:solidFill>
                    <a:srgbClr val="000000"/>
                  </a:solidFill>
                </c14:spPr>
              </c14:invertSolidFillFmt>
            </c:ext>
          </c:extLst>
          <c:cat>
            <c:numRef>
              <c:f>'throwing calculations'!$B$1:$EG$1</c:f>
              <c:numCache>
                <c:ptCount val="136"/>
                <c:pt idx="0">
                  <c:v>0</c:v>
                </c:pt>
                <c:pt idx="1">
                  <c:v>0.006666666666666667</c:v>
                </c:pt>
                <c:pt idx="2">
                  <c:v>0.013333333333333334</c:v>
                </c:pt>
                <c:pt idx="3">
                  <c:v>0.02</c:v>
                </c:pt>
                <c:pt idx="4">
                  <c:v>0.02666666666666667</c:v>
                </c:pt>
                <c:pt idx="5">
                  <c:v>0.03333333333333333</c:v>
                </c:pt>
                <c:pt idx="6">
                  <c:v>0.04</c:v>
                </c:pt>
                <c:pt idx="7">
                  <c:v>0.04666666666666667</c:v>
                </c:pt>
                <c:pt idx="8">
                  <c:v>0.05333333333333334</c:v>
                </c:pt>
                <c:pt idx="9">
                  <c:v>0.060000000000000005</c:v>
                </c:pt>
                <c:pt idx="10">
                  <c:v>0.06666666666666667</c:v>
                </c:pt>
                <c:pt idx="11">
                  <c:v>0.07333333333333333</c:v>
                </c:pt>
                <c:pt idx="12">
                  <c:v>0.08</c:v>
                </c:pt>
                <c:pt idx="13">
                  <c:v>0.08666666666666667</c:v>
                </c:pt>
                <c:pt idx="14">
                  <c:v>0.09333333333333334</c:v>
                </c:pt>
                <c:pt idx="15">
                  <c:v>0.1</c:v>
                </c:pt>
                <c:pt idx="16">
                  <c:v>0.10666666666666667</c:v>
                </c:pt>
                <c:pt idx="17">
                  <c:v>0.11333333333333334</c:v>
                </c:pt>
                <c:pt idx="18">
                  <c:v>0.12000000000000001</c:v>
                </c:pt>
                <c:pt idx="19">
                  <c:v>0.12666666666666668</c:v>
                </c:pt>
                <c:pt idx="20">
                  <c:v>0.13333333333333333</c:v>
                </c:pt>
                <c:pt idx="21">
                  <c:v>0.13999999999999999</c:v>
                </c:pt>
                <c:pt idx="22">
                  <c:v>0.14666666666666664</c:v>
                </c:pt>
                <c:pt idx="23">
                  <c:v>0.1533333333333333</c:v>
                </c:pt>
                <c:pt idx="24">
                  <c:v>0.15999999999999995</c:v>
                </c:pt>
                <c:pt idx="25">
                  <c:v>0.1666666666666666</c:v>
                </c:pt>
                <c:pt idx="26">
                  <c:v>0.17333333333333326</c:v>
                </c:pt>
                <c:pt idx="27">
                  <c:v>0.1799999999999999</c:v>
                </c:pt>
                <c:pt idx="28">
                  <c:v>0.18666666666666656</c:v>
                </c:pt>
                <c:pt idx="29">
                  <c:v>0.19333333333333322</c:v>
                </c:pt>
                <c:pt idx="30">
                  <c:v>0.19999999999999987</c:v>
                </c:pt>
                <c:pt idx="31">
                  <c:v>0.20666666666666653</c:v>
                </c:pt>
                <c:pt idx="32">
                  <c:v>0.21333333333333318</c:v>
                </c:pt>
                <c:pt idx="33">
                  <c:v>0.21999999999999983</c:v>
                </c:pt>
                <c:pt idx="34">
                  <c:v>0.2266666666666665</c:v>
                </c:pt>
                <c:pt idx="35">
                  <c:v>0.23333333333333314</c:v>
                </c:pt>
                <c:pt idx="36">
                  <c:v>0.2399999999999998</c:v>
                </c:pt>
                <c:pt idx="37">
                  <c:v>0.24666666666666645</c:v>
                </c:pt>
                <c:pt idx="38">
                  <c:v>0.25333333333333313</c:v>
                </c:pt>
                <c:pt idx="39">
                  <c:v>0.2599999999999998</c:v>
                </c:pt>
                <c:pt idx="40">
                  <c:v>0.26666666666666644</c:v>
                </c:pt>
                <c:pt idx="41">
                  <c:v>0.2733333333333331</c:v>
                </c:pt>
                <c:pt idx="42">
                  <c:v>0.27999999999999975</c:v>
                </c:pt>
                <c:pt idx="43">
                  <c:v>0.2866666666666664</c:v>
                </c:pt>
                <c:pt idx="44">
                  <c:v>0.29333333333333306</c:v>
                </c:pt>
                <c:pt idx="45">
                  <c:v>0.2999999999999997</c:v>
                </c:pt>
                <c:pt idx="46">
                  <c:v>0.30666666666666637</c:v>
                </c:pt>
                <c:pt idx="47">
                  <c:v>0.313333333333333</c:v>
                </c:pt>
                <c:pt idx="48">
                  <c:v>0.3199999999999997</c:v>
                </c:pt>
                <c:pt idx="49">
                  <c:v>0.3266666666666663</c:v>
                </c:pt>
                <c:pt idx="50">
                  <c:v>0.333333333333333</c:v>
                </c:pt>
                <c:pt idx="51">
                  <c:v>0.33999999999999964</c:v>
                </c:pt>
                <c:pt idx="52">
                  <c:v>0.3466666666666663</c:v>
                </c:pt>
                <c:pt idx="53">
                  <c:v>0.35333333333333294</c:v>
                </c:pt>
                <c:pt idx="54">
                  <c:v>0.3599999999999996</c:v>
                </c:pt>
                <c:pt idx="55">
                  <c:v>0.36666666666666625</c:v>
                </c:pt>
                <c:pt idx="56">
                  <c:v>0.3733333333333329</c:v>
                </c:pt>
                <c:pt idx="57">
                  <c:v>0.37999999999999956</c:v>
                </c:pt>
                <c:pt idx="58">
                  <c:v>0.3866666666666662</c:v>
                </c:pt>
                <c:pt idx="59">
                  <c:v>0.39333333333333287</c:v>
                </c:pt>
                <c:pt idx="60">
                  <c:v>0.3999999999999995</c:v>
                </c:pt>
                <c:pt idx="61">
                  <c:v>0.4066666666666662</c:v>
                </c:pt>
                <c:pt idx="62">
                  <c:v>0.41333333333333283</c:v>
                </c:pt>
                <c:pt idx="63">
                  <c:v>0.4199999999999995</c:v>
                </c:pt>
                <c:pt idx="64">
                  <c:v>0.42666666666666614</c:v>
                </c:pt>
                <c:pt idx="65">
                  <c:v>0.4333333333333328</c:v>
                </c:pt>
                <c:pt idx="66">
                  <c:v>0.43999999999999945</c:v>
                </c:pt>
                <c:pt idx="67">
                  <c:v>0.4466666666666661</c:v>
                </c:pt>
                <c:pt idx="68">
                  <c:v>0.45333333333333276</c:v>
                </c:pt>
                <c:pt idx="69">
                  <c:v>0.4599999999999994</c:v>
                </c:pt>
                <c:pt idx="70">
                  <c:v>0.46666666666666606</c:v>
                </c:pt>
                <c:pt idx="71">
                  <c:v>0.4733333333333327</c:v>
                </c:pt>
                <c:pt idx="72">
                  <c:v>0.47999999999999937</c:v>
                </c:pt>
                <c:pt idx="73">
                  <c:v>0.486666666666666</c:v>
                </c:pt>
                <c:pt idx="74">
                  <c:v>0.4933333333333327</c:v>
                </c:pt>
                <c:pt idx="75">
                  <c:v>0.49999999999999933</c:v>
                </c:pt>
                <c:pt idx="76">
                  <c:v>0.506666666666666</c:v>
                </c:pt>
                <c:pt idx="77">
                  <c:v>0.5133333333333328</c:v>
                </c:pt>
                <c:pt idx="78">
                  <c:v>0.5199999999999995</c:v>
                </c:pt>
                <c:pt idx="79">
                  <c:v>0.5266666666666662</c:v>
                </c:pt>
                <c:pt idx="80">
                  <c:v>0.5333333333333329</c:v>
                </c:pt>
                <c:pt idx="81">
                  <c:v>0.5399999999999996</c:v>
                </c:pt>
                <c:pt idx="82">
                  <c:v>0.5466666666666663</c:v>
                </c:pt>
                <c:pt idx="83">
                  <c:v>0.553333333333333</c:v>
                </c:pt>
                <c:pt idx="84">
                  <c:v>0.5599999999999997</c:v>
                </c:pt>
                <c:pt idx="85">
                  <c:v>0.5666666666666664</c:v>
                </c:pt>
                <c:pt idx="86">
                  <c:v>0.5733333333333331</c:v>
                </c:pt>
                <c:pt idx="87">
                  <c:v>0.5799999999999998</c:v>
                </c:pt>
                <c:pt idx="88">
                  <c:v>0.5866666666666666</c:v>
                </c:pt>
                <c:pt idx="89">
                  <c:v>0.5933333333333333</c:v>
                </c:pt>
                <c:pt idx="90">
                  <c:v>0.6</c:v>
                </c:pt>
                <c:pt idx="91">
                  <c:v>0.6066666666666667</c:v>
                </c:pt>
                <c:pt idx="92">
                  <c:v>0.6133333333333334</c:v>
                </c:pt>
                <c:pt idx="93">
                  <c:v>0.6200000000000001</c:v>
                </c:pt>
                <c:pt idx="94">
                  <c:v>0.6266666666666668</c:v>
                </c:pt>
                <c:pt idx="95">
                  <c:v>0.6333333333333335</c:v>
                </c:pt>
                <c:pt idx="96">
                  <c:v>0.6400000000000002</c:v>
                </c:pt>
                <c:pt idx="97">
                  <c:v>0.646666666666667</c:v>
                </c:pt>
                <c:pt idx="98">
                  <c:v>0.6533333333333337</c:v>
                </c:pt>
                <c:pt idx="99">
                  <c:v>0.6600000000000004</c:v>
                </c:pt>
                <c:pt idx="100">
                  <c:v>0.6666666666666671</c:v>
                </c:pt>
                <c:pt idx="101">
                  <c:v>0.6733333333333338</c:v>
                </c:pt>
                <c:pt idx="102">
                  <c:v>0.6800000000000005</c:v>
                </c:pt>
                <c:pt idx="103">
                  <c:v>0.6866666666666672</c:v>
                </c:pt>
                <c:pt idx="104">
                  <c:v>0.6933333333333339</c:v>
                </c:pt>
                <c:pt idx="105">
                  <c:v>0.7000000000000006</c:v>
                </c:pt>
                <c:pt idx="106">
                  <c:v>0.7066666666666673</c:v>
                </c:pt>
                <c:pt idx="107">
                  <c:v>0.713333333333334</c:v>
                </c:pt>
                <c:pt idx="108">
                  <c:v>0.7200000000000008</c:v>
                </c:pt>
                <c:pt idx="109">
                  <c:v>0.7266666666666675</c:v>
                </c:pt>
                <c:pt idx="110">
                  <c:v>0.7333333333333342</c:v>
                </c:pt>
                <c:pt idx="111">
                  <c:v>0.7400000000000009</c:v>
                </c:pt>
                <c:pt idx="112">
                  <c:v>0.7466666666666676</c:v>
                </c:pt>
                <c:pt idx="113">
                  <c:v>0.7533333333333343</c:v>
                </c:pt>
                <c:pt idx="114">
                  <c:v>0.760000000000001</c:v>
                </c:pt>
                <c:pt idx="115">
                  <c:v>0.7666666666666677</c:v>
                </c:pt>
                <c:pt idx="116">
                  <c:v>0.7733333333333344</c:v>
                </c:pt>
                <c:pt idx="117">
                  <c:v>0.7800000000000011</c:v>
                </c:pt>
                <c:pt idx="118">
                  <c:v>0.7866666666666678</c:v>
                </c:pt>
                <c:pt idx="119">
                  <c:v>0.7933333333333346</c:v>
                </c:pt>
                <c:pt idx="120">
                  <c:v>0.8000000000000013</c:v>
                </c:pt>
                <c:pt idx="121">
                  <c:v>0.806666666666668</c:v>
                </c:pt>
                <c:pt idx="122">
                  <c:v>0.8133333333333347</c:v>
                </c:pt>
                <c:pt idx="123">
                  <c:v>0.8200000000000014</c:v>
                </c:pt>
                <c:pt idx="124">
                  <c:v>0.8266666666666681</c:v>
                </c:pt>
                <c:pt idx="125">
                  <c:v>0.8333333333333348</c:v>
                </c:pt>
                <c:pt idx="126">
                  <c:v>0.8400000000000015</c:v>
                </c:pt>
                <c:pt idx="127">
                  <c:v>0.8466666666666682</c:v>
                </c:pt>
                <c:pt idx="128">
                  <c:v>0.8533333333333349</c:v>
                </c:pt>
                <c:pt idx="129">
                  <c:v>0.8600000000000017</c:v>
                </c:pt>
                <c:pt idx="130">
                  <c:v>0.8666666666666684</c:v>
                </c:pt>
                <c:pt idx="131">
                  <c:v>0.8733333333333351</c:v>
                </c:pt>
                <c:pt idx="132">
                  <c:v>0.8800000000000018</c:v>
                </c:pt>
                <c:pt idx="133">
                  <c:v>0.8866666666666685</c:v>
                </c:pt>
                <c:pt idx="134">
                  <c:v>0.8933333333333352</c:v>
                </c:pt>
                <c:pt idx="135">
                  <c:v>0.9000000000000019</c:v>
                </c:pt>
              </c:numCache>
            </c:numRef>
          </c:cat>
          <c:val>
            <c:numRef>
              <c:f>'throwing calculations'!$B$10:$EG$10</c:f>
              <c:numCache>
                <c:ptCount val="136"/>
                <c:pt idx="0">
                  <c:v>0</c:v>
                </c:pt>
                <c:pt idx="1">
                  <c:v>0.0032105709392348356</c:v>
                </c:pt>
                <c:pt idx="2">
                  <c:v>0.007894315403894417</c:v>
                </c:pt>
                <c:pt idx="3">
                  <c:v>0.013671351274613512</c:v>
                </c:pt>
                <c:pt idx="4">
                  <c:v>0.020369694559613384</c:v>
                </c:pt>
                <c:pt idx="5">
                  <c:v>0.02786094189339854</c:v>
                </c:pt>
                <c:pt idx="6">
                  <c:v>0.036046764965916966</c:v>
                </c:pt>
                <c:pt idx="7">
                  <c:v>0.04484984494679215</c:v>
                </c:pt>
                <c:pt idx="8">
                  <c:v>0.054207917817446785</c:v>
                </c:pt>
                <c:pt idx="9">
                  <c:v>0.06406980111077466</c:v>
                </c:pt>
                <c:pt idx="10">
                  <c:v>0.07439267223789583</c:v>
                </c:pt>
                <c:pt idx="11">
                  <c:v>0.08514015223481448</c:v>
                </c:pt>
                <c:pt idx="12">
                  <c:v>0.09628092139460574</c:v>
                </c:pt>
                <c:pt idx="13">
                  <c:v>0.1077876956267877</c:v>
                </c:pt>
                <c:pt idx="14">
                  <c:v>0.11963645370394273</c:v>
                </c:pt>
                <c:pt idx="15">
                  <c:v>0.13180584307639648</c:v>
                </c:pt>
                <c:pt idx="16">
                  <c:v>0.1442767154658351</c:v>
                </c:pt>
                <c:pt idx="17">
                  <c:v>0.15703175857286888</c:v>
                </c:pt>
                <c:pt idx="18">
                  <c:v>0.17005520018549872</c:v>
                </c:pt>
                <c:pt idx="19">
                  <c:v>0.1833325676688044</c:v>
                </c:pt>
                <c:pt idx="20">
                  <c:v>0.19685049040970026</c:v>
                </c:pt>
                <c:pt idx="21">
                  <c:v>0.21059653600206638</c:v>
                </c:pt>
                <c:pt idx="22">
                  <c:v>0.22455907324134086</c:v>
                </c:pt>
                <c:pt idx="23">
                  <c:v>0.23872715664731445</c:v>
                </c:pt>
                <c:pt idx="24">
                  <c:v>0.2530904284427284</c:v>
                </c:pt>
                <c:pt idx="25">
                  <c:v>0.2676390348129316</c:v>
                </c:pt>
                <c:pt idx="26">
                  <c:v>0.2823635539466132</c:v>
                </c:pt>
                <c:pt idx="27">
                  <c:v>0.2972549338706092</c:v>
                </c:pt>
                <c:pt idx="28">
                  <c:v>0.3123044384858797</c:v>
                </c:pt>
                <c:pt idx="29">
                  <c:v>0.3275036005174831</c:v>
                </c:pt>
                <c:pt idx="30">
                  <c:v>0.3428441803307105</c:v>
                </c:pt>
                <c:pt idx="31">
                  <c:v>0.35831812975449445</c:v>
                </c:pt>
                <c:pt idx="32">
                  <c:v>0.3739175602035673</c:v>
                </c:pt>
                <c:pt idx="33">
                  <c:v>0.38200797062000164</c:v>
                </c:pt>
                <c:pt idx="34">
                  <c:v>0.38200797062000164</c:v>
                </c:pt>
                <c:pt idx="35">
                  <c:v>0.38200797062000164</c:v>
                </c:pt>
                <c:pt idx="36">
                  <c:v>0.38200797062000164</c:v>
                </c:pt>
                <c:pt idx="37">
                  <c:v>0.38200797062000164</c:v>
                </c:pt>
                <c:pt idx="38">
                  <c:v>0.38200797062000164</c:v>
                </c:pt>
                <c:pt idx="39">
                  <c:v>0.38200797062000164</c:v>
                </c:pt>
                <c:pt idx="40">
                  <c:v>0.38200797062000164</c:v>
                </c:pt>
                <c:pt idx="41">
                  <c:v>0.38200797062000164</c:v>
                </c:pt>
                <c:pt idx="42">
                  <c:v>0.38200797062000164</c:v>
                </c:pt>
                <c:pt idx="43">
                  <c:v>0.38200797062000164</c:v>
                </c:pt>
                <c:pt idx="44">
                  <c:v>0.38200797062000164</c:v>
                </c:pt>
                <c:pt idx="45">
                  <c:v>0.38200797062000164</c:v>
                </c:pt>
                <c:pt idx="46">
                  <c:v>0.38200797062000164</c:v>
                </c:pt>
                <c:pt idx="47">
                  <c:v>0.38200797062000164</c:v>
                </c:pt>
                <c:pt idx="48">
                  <c:v>0.38200797062000164</c:v>
                </c:pt>
                <c:pt idx="49">
                  <c:v>0.38200797062000164</c:v>
                </c:pt>
                <c:pt idx="50">
                  <c:v>0.38200797062000164</c:v>
                </c:pt>
                <c:pt idx="51">
                  <c:v>0.38200797062000164</c:v>
                </c:pt>
                <c:pt idx="52">
                  <c:v>0.38200797062000164</c:v>
                </c:pt>
                <c:pt idx="53">
                  <c:v>0.38200797062000164</c:v>
                </c:pt>
                <c:pt idx="54">
                  <c:v>0.38200797062000164</c:v>
                </c:pt>
                <c:pt idx="55">
                  <c:v>0.38200797062000164</c:v>
                </c:pt>
                <c:pt idx="56">
                  <c:v>0.38200797062000164</c:v>
                </c:pt>
                <c:pt idx="57">
                  <c:v>0.38200797062000164</c:v>
                </c:pt>
                <c:pt idx="58">
                  <c:v>0.38200797062000164</c:v>
                </c:pt>
                <c:pt idx="59">
                  <c:v>0.38200797062000164</c:v>
                </c:pt>
                <c:pt idx="60">
                  <c:v>0.38200797062000164</c:v>
                </c:pt>
                <c:pt idx="61">
                  <c:v>0.38200797062000164</c:v>
                </c:pt>
                <c:pt idx="62">
                  <c:v>0.38200797062000164</c:v>
                </c:pt>
                <c:pt idx="63">
                  <c:v>0.38200797062000164</c:v>
                </c:pt>
                <c:pt idx="64">
                  <c:v>0.38200797062000164</c:v>
                </c:pt>
                <c:pt idx="65">
                  <c:v>0.38200797062000164</c:v>
                </c:pt>
                <c:pt idx="66">
                  <c:v>0.38200797062000164</c:v>
                </c:pt>
                <c:pt idx="67">
                  <c:v>0.38200797062000164</c:v>
                </c:pt>
                <c:pt idx="68">
                  <c:v>0.38200797062000164</c:v>
                </c:pt>
                <c:pt idx="69">
                  <c:v>0.38200797062000164</c:v>
                </c:pt>
                <c:pt idx="70">
                  <c:v>0.38200797062000164</c:v>
                </c:pt>
                <c:pt idx="71">
                  <c:v>0.38200797062000164</c:v>
                </c:pt>
                <c:pt idx="72">
                  <c:v>0.38200797062000164</c:v>
                </c:pt>
                <c:pt idx="73">
                  <c:v>0.38200797062000164</c:v>
                </c:pt>
                <c:pt idx="74">
                  <c:v>0.38200797062000164</c:v>
                </c:pt>
                <c:pt idx="75">
                  <c:v>0.38200797062000164</c:v>
                </c:pt>
                <c:pt idx="76">
                  <c:v>0.38200797062000164</c:v>
                </c:pt>
                <c:pt idx="77">
                  <c:v>0.38200797062000164</c:v>
                </c:pt>
                <c:pt idx="78">
                  <c:v>0.38200797062000164</c:v>
                </c:pt>
                <c:pt idx="79">
                  <c:v>0.38200797062000164</c:v>
                </c:pt>
                <c:pt idx="80">
                  <c:v>0.38200797062000164</c:v>
                </c:pt>
                <c:pt idx="81">
                  <c:v>0.38200797062000164</c:v>
                </c:pt>
                <c:pt idx="82">
                  <c:v>0.38200797062000164</c:v>
                </c:pt>
                <c:pt idx="83">
                  <c:v>0.38200797062000164</c:v>
                </c:pt>
                <c:pt idx="84">
                  <c:v>0.38200797062000164</c:v>
                </c:pt>
                <c:pt idx="85">
                  <c:v>0.38200797062000164</c:v>
                </c:pt>
                <c:pt idx="86">
                  <c:v>0.38200797062000164</c:v>
                </c:pt>
                <c:pt idx="87">
                  <c:v>0.38200797062000164</c:v>
                </c:pt>
                <c:pt idx="88">
                  <c:v>0.38200797062000164</c:v>
                </c:pt>
                <c:pt idx="89">
                  <c:v>0.38200797062000164</c:v>
                </c:pt>
                <c:pt idx="90">
                  <c:v>0.38200797062000164</c:v>
                </c:pt>
                <c:pt idx="91">
                  <c:v>0.38200797062000164</c:v>
                </c:pt>
                <c:pt idx="92">
                  <c:v>0.38200797062000164</c:v>
                </c:pt>
                <c:pt idx="93">
                  <c:v>0.38200797062000164</c:v>
                </c:pt>
                <c:pt idx="94">
                  <c:v>0.38200797062000164</c:v>
                </c:pt>
                <c:pt idx="95">
                  <c:v>0.38200797062000164</c:v>
                </c:pt>
                <c:pt idx="96">
                  <c:v>0.38200797062000164</c:v>
                </c:pt>
                <c:pt idx="97">
                  <c:v>0.38200797062000164</c:v>
                </c:pt>
                <c:pt idx="98">
                  <c:v>0.38200797062000164</c:v>
                </c:pt>
                <c:pt idx="99">
                  <c:v>0.38200797062000164</c:v>
                </c:pt>
                <c:pt idx="100">
                  <c:v>0.38200797062000164</c:v>
                </c:pt>
                <c:pt idx="101">
                  <c:v>0.38200797062000164</c:v>
                </c:pt>
                <c:pt idx="102">
                  <c:v>0.38200797062000164</c:v>
                </c:pt>
                <c:pt idx="103">
                  <c:v>0.38200797062000164</c:v>
                </c:pt>
                <c:pt idx="104">
                  <c:v>0.38200797062000164</c:v>
                </c:pt>
                <c:pt idx="105">
                  <c:v>0.38200797062000164</c:v>
                </c:pt>
                <c:pt idx="106">
                  <c:v>0.38200797062000164</c:v>
                </c:pt>
                <c:pt idx="107">
                  <c:v>0.38200797062000164</c:v>
                </c:pt>
                <c:pt idx="108">
                  <c:v>0.38200797062000164</c:v>
                </c:pt>
                <c:pt idx="109">
                  <c:v>0.38200797062000164</c:v>
                </c:pt>
                <c:pt idx="110">
                  <c:v>0.38200797062000164</c:v>
                </c:pt>
                <c:pt idx="111">
                  <c:v>0.38200797062000164</c:v>
                </c:pt>
                <c:pt idx="112">
                  <c:v>0.38200797062000164</c:v>
                </c:pt>
                <c:pt idx="113">
                  <c:v>0.38200797062000164</c:v>
                </c:pt>
                <c:pt idx="114">
                  <c:v>0.38200797062000164</c:v>
                </c:pt>
                <c:pt idx="115">
                  <c:v>0.38200797062000164</c:v>
                </c:pt>
                <c:pt idx="116">
                  <c:v>0.38200797062000164</c:v>
                </c:pt>
                <c:pt idx="117">
                  <c:v>0.38200797062000164</c:v>
                </c:pt>
                <c:pt idx="118">
                  <c:v>0.38200797062000164</c:v>
                </c:pt>
                <c:pt idx="119">
                  <c:v>0.38200797062000164</c:v>
                </c:pt>
                <c:pt idx="120">
                  <c:v>0.38200797062000164</c:v>
                </c:pt>
                <c:pt idx="121">
                  <c:v>0.38200797062000164</c:v>
                </c:pt>
                <c:pt idx="122">
                  <c:v>0.38200797062000164</c:v>
                </c:pt>
                <c:pt idx="123">
                  <c:v>0.38200797062000164</c:v>
                </c:pt>
                <c:pt idx="124">
                  <c:v>0.38200797062000164</c:v>
                </c:pt>
                <c:pt idx="125">
                  <c:v>0.38200797062000164</c:v>
                </c:pt>
                <c:pt idx="126">
                  <c:v>0.38200797062000164</c:v>
                </c:pt>
                <c:pt idx="127">
                  <c:v>0.38200797062000164</c:v>
                </c:pt>
                <c:pt idx="128">
                  <c:v>0.38200797062000164</c:v>
                </c:pt>
                <c:pt idx="129">
                  <c:v>0.38200797062000164</c:v>
                </c:pt>
                <c:pt idx="130">
                  <c:v>0.38200797062000164</c:v>
                </c:pt>
                <c:pt idx="131">
                  <c:v>0.38200797062000164</c:v>
                </c:pt>
                <c:pt idx="132">
                  <c:v>0.38200797062000164</c:v>
                </c:pt>
                <c:pt idx="133">
                  <c:v>0.38200797062000164</c:v>
                </c:pt>
                <c:pt idx="134">
                  <c:v>0.38200797062000164</c:v>
                </c:pt>
                <c:pt idx="135">
                  <c:v>0.38200797062000164</c:v>
                </c:pt>
              </c:numCache>
            </c:numRef>
          </c:val>
          <c:smooth val="0"/>
        </c:ser>
        <c:ser>
          <c:idx val="1"/>
          <c:order val="1"/>
          <c:tx>
            <c:v>Mass trajectory</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'throwing calculations'!$B$1:$EG$1</c:f>
              <c:numCache>
                <c:ptCount val="136"/>
                <c:pt idx="0">
                  <c:v>0</c:v>
                </c:pt>
                <c:pt idx="1">
                  <c:v>0.006666666666666667</c:v>
                </c:pt>
                <c:pt idx="2">
                  <c:v>0.013333333333333334</c:v>
                </c:pt>
                <c:pt idx="3">
                  <c:v>0.02</c:v>
                </c:pt>
                <c:pt idx="4">
                  <c:v>0.02666666666666667</c:v>
                </c:pt>
                <c:pt idx="5">
                  <c:v>0.03333333333333333</c:v>
                </c:pt>
                <c:pt idx="6">
                  <c:v>0.04</c:v>
                </c:pt>
                <c:pt idx="7">
                  <c:v>0.04666666666666667</c:v>
                </c:pt>
                <c:pt idx="8">
                  <c:v>0.05333333333333334</c:v>
                </c:pt>
                <c:pt idx="9">
                  <c:v>0.060000000000000005</c:v>
                </c:pt>
                <c:pt idx="10">
                  <c:v>0.06666666666666667</c:v>
                </c:pt>
                <c:pt idx="11">
                  <c:v>0.07333333333333333</c:v>
                </c:pt>
                <c:pt idx="12">
                  <c:v>0.08</c:v>
                </c:pt>
                <c:pt idx="13">
                  <c:v>0.08666666666666667</c:v>
                </c:pt>
                <c:pt idx="14">
                  <c:v>0.09333333333333334</c:v>
                </c:pt>
                <c:pt idx="15">
                  <c:v>0.1</c:v>
                </c:pt>
                <c:pt idx="16">
                  <c:v>0.10666666666666667</c:v>
                </c:pt>
                <c:pt idx="17">
                  <c:v>0.11333333333333334</c:v>
                </c:pt>
                <c:pt idx="18">
                  <c:v>0.12000000000000001</c:v>
                </c:pt>
                <c:pt idx="19">
                  <c:v>0.12666666666666668</c:v>
                </c:pt>
                <c:pt idx="20">
                  <c:v>0.13333333333333333</c:v>
                </c:pt>
                <c:pt idx="21">
                  <c:v>0.13999999999999999</c:v>
                </c:pt>
                <c:pt idx="22">
                  <c:v>0.14666666666666664</c:v>
                </c:pt>
                <c:pt idx="23">
                  <c:v>0.1533333333333333</c:v>
                </c:pt>
                <c:pt idx="24">
                  <c:v>0.15999999999999995</c:v>
                </c:pt>
                <c:pt idx="25">
                  <c:v>0.1666666666666666</c:v>
                </c:pt>
                <c:pt idx="26">
                  <c:v>0.17333333333333326</c:v>
                </c:pt>
                <c:pt idx="27">
                  <c:v>0.1799999999999999</c:v>
                </c:pt>
                <c:pt idx="28">
                  <c:v>0.18666666666666656</c:v>
                </c:pt>
                <c:pt idx="29">
                  <c:v>0.19333333333333322</c:v>
                </c:pt>
                <c:pt idx="30">
                  <c:v>0.19999999999999987</c:v>
                </c:pt>
                <c:pt idx="31">
                  <c:v>0.20666666666666653</c:v>
                </c:pt>
                <c:pt idx="32">
                  <c:v>0.21333333333333318</c:v>
                </c:pt>
                <c:pt idx="33">
                  <c:v>0.21999999999999983</c:v>
                </c:pt>
                <c:pt idx="34">
                  <c:v>0.2266666666666665</c:v>
                </c:pt>
                <c:pt idx="35">
                  <c:v>0.23333333333333314</c:v>
                </c:pt>
                <c:pt idx="36">
                  <c:v>0.2399999999999998</c:v>
                </c:pt>
                <c:pt idx="37">
                  <c:v>0.24666666666666645</c:v>
                </c:pt>
                <c:pt idx="38">
                  <c:v>0.25333333333333313</c:v>
                </c:pt>
                <c:pt idx="39">
                  <c:v>0.2599999999999998</c:v>
                </c:pt>
                <c:pt idx="40">
                  <c:v>0.26666666666666644</c:v>
                </c:pt>
                <c:pt idx="41">
                  <c:v>0.2733333333333331</c:v>
                </c:pt>
                <c:pt idx="42">
                  <c:v>0.27999999999999975</c:v>
                </c:pt>
                <c:pt idx="43">
                  <c:v>0.2866666666666664</c:v>
                </c:pt>
                <c:pt idx="44">
                  <c:v>0.29333333333333306</c:v>
                </c:pt>
                <c:pt idx="45">
                  <c:v>0.2999999999999997</c:v>
                </c:pt>
                <c:pt idx="46">
                  <c:v>0.30666666666666637</c:v>
                </c:pt>
                <c:pt idx="47">
                  <c:v>0.313333333333333</c:v>
                </c:pt>
                <c:pt idx="48">
                  <c:v>0.3199999999999997</c:v>
                </c:pt>
                <c:pt idx="49">
                  <c:v>0.3266666666666663</c:v>
                </c:pt>
                <c:pt idx="50">
                  <c:v>0.333333333333333</c:v>
                </c:pt>
                <c:pt idx="51">
                  <c:v>0.33999999999999964</c:v>
                </c:pt>
                <c:pt idx="52">
                  <c:v>0.3466666666666663</c:v>
                </c:pt>
                <c:pt idx="53">
                  <c:v>0.35333333333333294</c:v>
                </c:pt>
                <c:pt idx="54">
                  <c:v>0.3599999999999996</c:v>
                </c:pt>
                <c:pt idx="55">
                  <c:v>0.36666666666666625</c:v>
                </c:pt>
                <c:pt idx="56">
                  <c:v>0.3733333333333329</c:v>
                </c:pt>
                <c:pt idx="57">
                  <c:v>0.37999999999999956</c:v>
                </c:pt>
                <c:pt idx="58">
                  <c:v>0.3866666666666662</c:v>
                </c:pt>
                <c:pt idx="59">
                  <c:v>0.39333333333333287</c:v>
                </c:pt>
                <c:pt idx="60">
                  <c:v>0.3999999999999995</c:v>
                </c:pt>
                <c:pt idx="61">
                  <c:v>0.4066666666666662</c:v>
                </c:pt>
                <c:pt idx="62">
                  <c:v>0.41333333333333283</c:v>
                </c:pt>
                <c:pt idx="63">
                  <c:v>0.4199999999999995</c:v>
                </c:pt>
                <c:pt idx="64">
                  <c:v>0.42666666666666614</c:v>
                </c:pt>
                <c:pt idx="65">
                  <c:v>0.4333333333333328</c:v>
                </c:pt>
                <c:pt idx="66">
                  <c:v>0.43999999999999945</c:v>
                </c:pt>
                <c:pt idx="67">
                  <c:v>0.4466666666666661</c:v>
                </c:pt>
                <c:pt idx="68">
                  <c:v>0.45333333333333276</c:v>
                </c:pt>
                <c:pt idx="69">
                  <c:v>0.4599999999999994</c:v>
                </c:pt>
                <c:pt idx="70">
                  <c:v>0.46666666666666606</c:v>
                </c:pt>
                <c:pt idx="71">
                  <c:v>0.4733333333333327</c:v>
                </c:pt>
                <c:pt idx="72">
                  <c:v>0.47999999999999937</c:v>
                </c:pt>
                <c:pt idx="73">
                  <c:v>0.486666666666666</c:v>
                </c:pt>
                <c:pt idx="74">
                  <c:v>0.4933333333333327</c:v>
                </c:pt>
                <c:pt idx="75">
                  <c:v>0.49999999999999933</c:v>
                </c:pt>
                <c:pt idx="76">
                  <c:v>0.506666666666666</c:v>
                </c:pt>
                <c:pt idx="77">
                  <c:v>0.5133333333333328</c:v>
                </c:pt>
                <c:pt idx="78">
                  <c:v>0.5199999999999995</c:v>
                </c:pt>
                <c:pt idx="79">
                  <c:v>0.5266666666666662</c:v>
                </c:pt>
                <c:pt idx="80">
                  <c:v>0.5333333333333329</c:v>
                </c:pt>
                <c:pt idx="81">
                  <c:v>0.5399999999999996</c:v>
                </c:pt>
                <c:pt idx="82">
                  <c:v>0.5466666666666663</c:v>
                </c:pt>
                <c:pt idx="83">
                  <c:v>0.553333333333333</c:v>
                </c:pt>
                <c:pt idx="84">
                  <c:v>0.5599999999999997</c:v>
                </c:pt>
                <c:pt idx="85">
                  <c:v>0.5666666666666664</c:v>
                </c:pt>
                <c:pt idx="86">
                  <c:v>0.5733333333333331</c:v>
                </c:pt>
                <c:pt idx="87">
                  <c:v>0.5799999999999998</c:v>
                </c:pt>
                <c:pt idx="88">
                  <c:v>0.5866666666666666</c:v>
                </c:pt>
                <c:pt idx="89">
                  <c:v>0.5933333333333333</c:v>
                </c:pt>
                <c:pt idx="90">
                  <c:v>0.6</c:v>
                </c:pt>
                <c:pt idx="91">
                  <c:v>0.6066666666666667</c:v>
                </c:pt>
                <c:pt idx="92">
                  <c:v>0.6133333333333334</c:v>
                </c:pt>
                <c:pt idx="93">
                  <c:v>0.6200000000000001</c:v>
                </c:pt>
                <c:pt idx="94">
                  <c:v>0.6266666666666668</c:v>
                </c:pt>
                <c:pt idx="95">
                  <c:v>0.6333333333333335</c:v>
                </c:pt>
                <c:pt idx="96">
                  <c:v>0.6400000000000002</c:v>
                </c:pt>
                <c:pt idx="97">
                  <c:v>0.646666666666667</c:v>
                </c:pt>
                <c:pt idx="98">
                  <c:v>0.6533333333333337</c:v>
                </c:pt>
                <c:pt idx="99">
                  <c:v>0.6600000000000004</c:v>
                </c:pt>
                <c:pt idx="100">
                  <c:v>0.6666666666666671</c:v>
                </c:pt>
                <c:pt idx="101">
                  <c:v>0.6733333333333338</c:v>
                </c:pt>
                <c:pt idx="102">
                  <c:v>0.6800000000000005</c:v>
                </c:pt>
                <c:pt idx="103">
                  <c:v>0.6866666666666672</c:v>
                </c:pt>
                <c:pt idx="104">
                  <c:v>0.6933333333333339</c:v>
                </c:pt>
                <c:pt idx="105">
                  <c:v>0.7000000000000006</c:v>
                </c:pt>
                <c:pt idx="106">
                  <c:v>0.7066666666666673</c:v>
                </c:pt>
                <c:pt idx="107">
                  <c:v>0.713333333333334</c:v>
                </c:pt>
                <c:pt idx="108">
                  <c:v>0.7200000000000008</c:v>
                </c:pt>
                <c:pt idx="109">
                  <c:v>0.7266666666666675</c:v>
                </c:pt>
                <c:pt idx="110">
                  <c:v>0.7333333333333342</c:v>
                </c:pt>
                <c:pt idx="111">
                  <c:v>0.7400000000000009</c:v>
                </c:pt>
                <c:pt idx="112">
                  <c:v>0.7466666666666676</c:v>
                </c:pt>
                <c:pt idx="113">
                  <c:v>0.7533333333333343</c:v>
                </c:pt>
                <c:pt idx="114">
                  <c:v>0.760000000000001</c:v>
                </c:pt>
                <c:pt idx="115">
                  <c:v>0.7666666666666677</c:v>
                </c:pt>
                <c:pt idx="116">
                  <c:v>0.7733333333333344</c:v>
                </c:pt>
                <c:pt idx="117">
                  <c:v>0.7800000000000011</c:v>
                </c:pt>
                <c:pt idx="118">
                  <c:v>0.7866666666666678</c:v>
                </c:pt>
                <c:pt idx="119">
                  <c:v>0.7933333333333346</c:v>
                </c:pt>
                <c:pt idx="120">
                  <c:v>0.8000000000000013</c:v>
                </c:pt>
                <c:pt idx="121">
                  <c:v>0.806666666666668</c:v>
                </c:pt>
                <c:pt idx="122">
                  <c:v>0.8133333333333347</c:v>
                </c:pt>
                <c:pt idx="123">
                  <c:v>0.8200000000000014</c:v>
                </c:pt>
                <c:pt idx="124">
                  <c:v>0.8266666666666681</c:v>
                </c:pt>
                <c:pt idx="125">
                  <c:v>0.8333333333333348</c:v>
                </c:pt>
                <c:pt idx="126">
                  <c:v>0.8400000000000015</c:v>
                </c:pt>
                <c:pt idx="127">
                  <c:v>0.8466666666666682</c:v>
                </c:pt>
                <c:pt idx="128">
                  <c:v>0.8533333333333349</c:v>
                </c:pt>
                <c:pt idx="129">
                  <c:v>0.8600000000000017</c:v>
                </c:pt>
                <c:pt idx="130">
                  <c:v>0.8666666666666684</c:v>
                </c:pt>
                <c:pt idx="131">
                  <c:v>0.8733333333333351</c:v>
                </c:pt>
                <c:pt idx="132">
                  <c:v>0.8800000000000018</c:v>
                </c:pt>
                <c:pt idx="133">
                  <c:v>0.8866666666666685</c:v>
                </c:pt>
                <c:pt idx="134">
                  <c:v>0.8933333333333352</c:v>
                </c:pt>
                <c:pt idx="135">
                  <c:v>0.9000000000000019</c:v>
                </c:pt>
              </c:numCache>
            </c:numRef>
          </c:cat>
          <c:val>
            <c:numRef>
              <c:f>'throwing calculations'!$B$11:$EG$11</c:f>
              <c:numCache>
                <c:ptCount val="136"/>
                <c:pt idx="0">
                  <c:v>0</c:v>
                </c:pt>
                <c:pt idx="1">
                  <c:v>0.0032105709392348356</c:v>
                </c:pt>
                <c:pt idx="2">
                  <c:v>0.007894315403894417</c:v>
                </c:pt>
                <c:pt idx="3">
                  <c:v>0.013671351274613512</c:v>
                </c:pt>
                <c:pt idx="4">
                  <c:v>0.020369694559613384</c:v>
                </c:pt>
                <c:pt idx="5">
                  <c:v>0.02786094189339854</c:v>
                </c:pt>
                <c:pt idx="6">
                  <c:v>0.036046764965916966</c:v>
                </c:pt>
                <c:pt idx="7">
                  <c:v>0.04484984494679215</c:v>
                </c:pt>
                <c:pt idx="8">
                  <c:v>0.054207917817446785</c:v>
                </c:pt>
                <c:pt idx="9">
                  <c:v>0.06406980111077466</c:v>
                </c:pt>
                <c:pt idx="10">
                  <c:v>0.07439267223789583</c:v>
                </c:pt>
                <c:pt idx="11">
                  <c:v>0.08514015223481448</c:v>
                </c:pt>
                <c:pt idx="12">
                  <c:v>0.09628092139460574</c:v>
                </c:pt>
                <c:pt idx="13">
                  <c:v>0.1077876956267877</c:v>
                </c:pt>
                <c:pt idx="14">
                  <c:v>0.11963645370394273</c:v>
                </c:pt>
                <c:pt idx="15">
                  <c:v>0.13180584307639648</c:v>
                </c:pt>
                <c:pt idx="16">
                  <c:v>0.1442767154658351</c:v>
                </c:pt>
                <c:pt idx="17">
                  <c:v>0.15703175857286888</c:v>
                </c:pt>
                <c:pt idx="18">
                  <c:v>0.17005520018549872</c:v>
                </c:pt>
                <c:pt idx="19">
                  <c:v>0.1833325676688044</c:v>
                </c:pt>
                <c:pt idx="20">
                  <c:v>0.19685049040970026</c:v>
                </c:pt>
                <c:pt idx="21">
                  <c:v>0.21059653600206638</c:v>
                </c:pt>
                <c:pt idx="22">
                  <c:v>0.22455907324134086</c:v>
                </c:pt>
                <c:pt idx="23">
                  <c:v>0.23872715664731445</c:v>
                </c:pt>
                <c:pt idx="24">
                  <c:v>0.2530904284427284</c:v>
                </c:pt>
                <c:pt idx="25">
                  <c:v>0.2676390348129316</c:v>
                </c:pt>
                <c:pt idx="26">
                  <c:v>0.2823635539466132</c:v>
                </c:pt>
                <c:pt idx="27">
                  <c:v>0.2972549338706092</c:v>
                </c:pt>
                <c:pt idx="28">
                  <c:v>0.3123044384858797</c:v>
                </c:pt>
                <c:pt idx="29">
                  <c:v>0.3275036005174831</c:v>
                </c:pt>
                <c:pt idx="30">
                  <c:v>0.3428441803307105</c:v>
                </c:pt>
                <c:pt idx="31">
                  <c:v>0.35831812975449445</c:v>
                </c:pt>
                <c:pt idx="32">
                  <c:v>0.3739175602035673</c:v>
                </c:pt>
                <c:pt idx="33">
                  <c:v>0.3887982559063283</c:v>
                </c:pt>
                <c:pt idx="34">
                  <c:v>0.40324295160908935</c:v>
                </c:pt>
                <c:pt idx="35">
                  <c:v>0.4172516473118504</c:v>
                </c:pt>
                <c:pt idx="36">
                  <c:v>0.4308243430146114</c:v>
                </c:pt>
                <c:pt idx="37">
                  <c:v>0.44396103871737247</c:v>
                </c:pt>
                <c:pt idx="38">
                  <c:v>0.4566617344201335</c:v>
                </c:pt>
                <c:pt idx="39">
                  <c:v>0.4689264301228946</c:v>
                </c:pt>
                <c:pt idx="40">
                  <c:v>0.48075512582565566</c:v>
                </c:pt>
                <c:pt idx="41">
                  <c:v>0.4921478215284167</c:v>
                </c:pt>
                <c:pt idx="42">
                  <c:v>0.5031045172311777</c:v>
                </c:pt>
                <c:pt idx="43">
                  <c:v>0.5136252129339387</c:v>
                </c:pt>
                <c:pt idx="44">
                  <c:v>0.5237099086366996</c:v>
                </c:pt>
                <c:pt idx="45">
                  <c:v>0.5333586043394606</c:v>
                </c:pt>
                <c:pt idx="46">
                  <c:v>0.5425713000422215</c:v>
                </c:pt>
                <c:pt idx="47">
                  <c:v>0.5513479957449825</c:v>
                </c:pt>
                <c:pt idx="48">
                  <c:v>0.5596886914477435</c:v>
                </c:pt>
                <c:pt idx="49">
                  <c:v>0.5675933871505044</c:v>
                </c:pt>
                <c:pt idx="50">
                  <c:v>0.5750620828532654</c:v>
                </c:pt>
                <c:pt idx="51">
                  <c:v>0.5820947785560264</c:v>
                </c:pt>
                <c:pt idx="52">
                  <c:v>0.5886914742587874</c:v>
                </c:pt>
                <c:pt idx="53">
                  <c:v>0.5948521699615484</c:v>
                </c:pt>
                <c:pt idx="54">
                  <c:v>0.6005768656643095</c:v>
                </c:pt>
                <c:pt idx="55">
                  <c:v>0.6058655613670705</c:v>
                </c:pt>
                <c:pt idx="56">
                  <c:v>0.6107182570698315</c:v>
                </c:pt>
                <c:pt idx="57">
                  <c:v>0.6151349527725926</c:v>
                </c:pt>
                <c:pt idx="58">
                  <c:v>0.6191156484753536</c:v>
                </c:pt>
                <c:pt idx="59">
                  <c:v>0.6226603441781146</c:v>
                </c:pt>
                <c:pt idx="60">
                  <c:v>0.6257690398808755</c:v>
                </c:pt>
                <c:pt idx="61">
                  <c:v>0.6284417355836365</c:v>
                </c:pt>
                <c:pt idx="62">
                  <c:v>0.6306784312863974</c:v>
                </c:pt>
                <c:pt idx="63">
                  <c:v>0.6324791269891584</c:v>
                </c:pt>
                <c:pt idx="64">
                  <c:v>0.6338438226919194</c:v>
                </c:pt>
                <c:pt idx="65">
                  <c:v>0.6347725183946804</c:v>
                </c:pt>
                <c:pt idx="66">
                  <c:v>0.6352652140974414</c:v>
                </c:pt>
                <c:pt idx="67">
                  <c:v>0.6353219098002024</c:v>
                </c:pt>
                <c:pt idx="68">
                  <c:v>0.6349426055029634</c:v>
                </c:pt>
                <c:pt idx="69">
                  <c:v>0.6341273012057245</c:v>
                </c:pt>
                <c:pt idx="70">
                  <c:v>0.6328759969084855</c:v>
                </c:pt>
                <c:pt idx="71">
                  <c:v>0.6311886926112465</c:v>
                </c:pt>
                <c:pt idx="72">
                  <c:v>0.6290653883140075</c:v>
                </c:pt>
                <c:pt idx="73">
                  <c:v>0.6265060840167684</c:v>
                </c:pt>
                <c:pt idx="74">
                  <c:v>0.6235107797195294</c:v>
                </c:pt>
                <c:pt idx="75">
                  <c:v>0.6200794754222904</c:v>
                </c:pt>
                <c:pt idx="76">
                  <c:v>0.6162121711250513</c:v>
                </c:pt>
                <c:pt idx="77">
                  <c:v>0.6119088668278123</c:v>
                </c:pt>
                <c:pt idx="78">
                  <c:v>0.6071695625305733</c:v>
                </c:pt>
                <c:pt idx="79">
                  <c:v>0.6019942582333343</c:v>
                </c:pt>
                <c:pt idx="80">
                  <c:v>0.5963829539360953</c:v>
                </c:pt>
                <c:pt idx="81">
                  <c:v>0.5903356496388563</c:v>
                </c:pt>
                <c:pt idx="82">
                  <c:v>0.5838523453416173</c:v>
                </c:pt>
                <c:pt idx="83">
                  <c:v>0.5769330410443784</c:v>
                </c:pt>
                <c:pt idx="84">
                  <c:v>0.5695777367471394</c:v>
                </c:pt>
                <c:pt idx="85">
                  <c:v>0.5617864324499005</c:v>
                </c:pt>
                <c:pt idx="86">
                  <c:v>0.5535591281526614</c:v>
                </c:pt>
                <c:pt idx="87">
                  <c:v>0.5448958238554223</c:v>
                </c:pt>
                <c:pt idx="88">
                  <c:v>0.5357965195581833</c:v>
                </c:pt>
                <c:pt idx="89">
                  <c:v>0.5262612152609443</c:v>
                </c:pt>
                <c:pt idx="90">
                  <c:v>0.5162899109637052</c:v>
                </c:pt>
                <c:pt idx="91">
                  <c:v>0.5058826066664662</c:v>
                </c:pt>
                <c:pt idx="92">
                  <c:v>0.4950393023692273</c:v>
                </c:pt>
                <c:pt idx="93">
                  <c:v>0.48375999807198833</c:v>
                </c:pt>
                <c:pt idx="94">
                  <c:v>0.4720446937747494</c:v>
                </c:pt>
                <c:pt idx="95">
                  <c:v>0.45989338947751046</c:v>
                </c:pt>
                <c:pt idx="96">
                  <c:v>0.44730608518027154</c:v>
                </c:pt>
                <c:pt idx="97">
                  <c:v>0.43428278088303257</c:v>
                </c:pt>
                <c:pt idx="98">
                  <c:v>0.4208234765857936</c:v>
                </c:pt>
                <c:pt idx="99">
                  <c:v>0.40692817228855466</c:v>
                </c:pt>
                <c:pt idx="100">
                  <c:v>0.3925968679913157</c:v>
                </c:pt>
                <c:pt idx="101">
                  <c:v>0.3778295636940768</c:v>
                </c:pt>
                <c:pt idx="102">
                  <c:v>0.36262625939683785</c:v>
                </c:pt>
                <c:pt idx="103">
                  <c:v>0.3469869550995989</c:v>
                </c:pt>
                <c:pt idx="104">
                  <c:v>0.33091165080236</c:v>
                </c:pt>
                <c:pt idx="105">
                  <c:v>0.31440034650512105</c:v>
                </c:pt>
                <c:pt idx="106">
                  <c:v>0.2974530422078821</c:v>
                </c:pt>
                <c:pt idx="107">
                  <c:v>0.28006973791064316</c:v>
                </c:pt>
                <c:pt idx="108">
                  <c:v>0.2622504336134042</c:v>
                </c:pt>
                <c:pt idx="109">
                  <c:v>0.2439951293161653</c:v>
                </c:pt>
                <c:pt idx="110">
                  <c:v>0.22530382501892635</c:v>
                </c:pt>
                <c:pt idx="111">
                  <c:v>0.2061765207216874</c:v>
                </c:pt>
                <c:pt idx="112">
                  <c:v>0.18661321642444847</c:v>
                </c:pt>
                <c:pt idx="113">
                  <c:v>0.16661391212720955</c:v>
                </c:pt>
                <c:pt idx="114">
                  <c:v>0.1461786078299706</c:v>
                </c:pt>
                <c:pt idx="115">
                  <c:v>0.12530730353273167</c:v>
                </c:pt>
                <c:pt idx="116">
                  <c:v>0.10399999923549275</c:v>
                </c:pt>
                <c:pt idx="117">
                  <c:v>0.08225669493825381</c:v>
                </c:pt>
                <c:pt idx="118">
                  <c:v>0.060077390641014874</c:v>
                </c:pt>
                <c:pt idx="119">
                  <c:v>0.03746208634377594</c:v>
                </c:pt>
                <c:pt idx="120">
                  <c:v>0.014410782046537004</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smooth val="0"/>
        </c:ser>
        <c:marker val="1"/>
        <c:axId val="45726022"/>
        <c:axId val="8881015"/>
      </c:lineChart>
      <c:catAx>
        <c:axId val="45726022"/>
        <c:scaling>
          <c:orientation val="minMax"/>
        </c:scaling>
        <c:axPos val="b"/>
        <c:title>
          <c:tx>
            <c:rich>
              <a:bodyPr vert="horz" rot="0" anchor="ctr"/>
              <a:lstStyle/>
              <a:p>
                <a:pPr algn="ctr">
                  <a:defRPr/>
                </a:pPr>
                <a:r>
                  <a:rPr lang="en-US" cap="none" sz="1100" b="1" i="0" u="none" baseline="0"/>
                  <a:t>Secs</a:t>
                </a:r>
              </a:p>
            </c:rich>
          </c:tx>
          <c:layout/>
          <c:overlay val="0"/>
          <c:spPr>
            <a:noFill/>
            <a:ln>
              <a:noFill/>
            </a:ln>
          </c:spPr>
        </c:title>
        <c:delete val="0"/>
        <c:numFmt formatCode="General" sourceLinked="1"/>
        <c:majorTickMark val="out"/>
        <c:minorTickMark val="none"/>
        <c:tickLblPos val="nextTo"/>
        <c:crossAx val="8881015"/>
        <c:crosses val="autoZero"/>
        <c:auto val="1"/>
        <c:lblOffset val="100"/>
        <c:noMultiLvlLbl val="0"/>
      </c:catAx>
      <c:valAx>
        <c:axId val="8881015"/>
        <c:scaling>
          <c:orientation val="minMax"/>
        </c:scaling>
        <c:axPos val="l"/>
        <c:title>
          <c:tx>
            <c:rich>
              <a:bodyPr vert="horz" rot="-5400000" anchor="ctr"/>
              <a:lstStyle/>
              <a:p>
                <a:pPr algn="ctr">
                  <a:defRPr/>
                </a:pPr>
                <a:r>
                  <a:rPr lang="en-US" cap="none" sz="1100" b="1" i="0" u="none" baseline="0"/>
                  <a:t>Height (metres)</a:t>
                </a:r>
              </a:p>
            </c:rich>
          </c:tx>
          <c:layout/>
          <c:overlay val="0"/>
          <c:spPr>
            <a:noFill/>
            <a:ln>
              <a:noFill/>
            </a:ln>
          </c:spPr>
        </c:title>
        <c:majorGridlines/>
        <c:delete val="0"/>
        <c:numFmt formatCode="General" sourceLinked="1"/>
        <c:majorTickMark val="out"/>
        <c:minorTickMark val="none"/>
        <c:tickLblPos val="nextTo"/>
        <c:crossAx val="45726022"/>
        <c:crossesAt val="1"/>
        <c:crossBetween val="between"/>
        <c:dispUnits/>
      </c:valAx>
      <c:spPr>
        <a:solidFill>
          <a:srgbClr val="C0C0C0"/>
        </a:solidFill>
        <a:ln w="12700">
          <a:solidFill>
            <a:srgbClr val="808080"/>
          </a:solidFill>
        </a:ln>
      </c:spPr>
    </c:plotArea>
    <c:legend>
      <c:legendPos val="t"/>
      <c:layout>
        <c:manualLayout>
          <c:xMode val="edge"/>
          <c:yMode val="edge"/>
          <c:x val="0.39425"/>
          <c:y val="0.01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158"/>
          <c:w val="0.88675"/>
          <c:h val="0.77775"/>
        </c:manualLayout>
      </c:layout>
      <c:lineChart>
        <c:grouping val="standard"/>
        <c:varyColors val="0"/>
        <c:ser>
          <c:idx val="0"/>
          <c:order val="0"/>
          <c:tx>
            <c:v>Ram pressure</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'throwing calculations'!$B$1:$EG$1</c:f>
              <c:numCache>
                <c:ptCount val="136"/>
                <c:pt idx="0">
                  <c:v>0</c:v>
                </c:pt>
                <c:pt idx="1">
                  <c:v>0.006666666666666667</c:v>
                </c:pt>
                <c:pt idx="2">
                  <c:v>0.013333333333333334</c:v>
                </c:pt>
                <c:pt idx="3">
                  <c:v>0.02</c:v>
                </c:pt>
                <c:pt idx="4">
                  <c:v>0.02666666666666667</c:v>
                </c:pt>
                <c:pt idx="5">
                  <c:v>0.03333333333333333</c:v>
                </c:pt>
                <c:pt idx="6">
                  <c:v>0.04</c:v>
                </c:pt>
                <c:pt idx="7">
                  <c:v>0.04666666666666667</c:v>
                </c:pt>
                <c:pt idx="8">
                  <c:v>0.05333333333333334</c:v>
                </c:pt>
                <c:pt idx="9">
                  <c:v>0.060000000000000005</c:v>
                </c:pt>
                <c:pt idx="10">
                  <c:v>0.06666666666666667</c:v>
                </c:pt>
                <c:pt idx="11">
                  <c:v>0.07333333333333333</c:v>
                </c:pt>
                <c:pt idx="12">
                  <c:v>0.08</c:v>
                </c:pt>
                <c:pt idx="13">
                  <c:v>0.08666666666666667</c:v>
                </c:pt>
                <c:pt idx="14">
                  <c:v>0.09333333333333334</c:v>
                </c:pt>
                <c:pt idx="15">
                  <c:v>0.1</c:v>
                </c:pt>
                <c:pt idx="16">
                  <c:v>0.10666666666666667</c:v>
                </c:pt>
                <c:pt idx="17">
                  <c:v>0.11333333333333334</c:v>
                </c:pt>
                <c:pt idx="18">
                  <c:v>0.12000000000000001</c:v>
                </c:pt>
                <c:pt idx="19">
                  <c:v>0.12666666666666668</c:v>
                </c:pt>
                <c:pt idx="20">
                  <c:v>0.13333333333333333</c:v>
                </c:pt>
                <c:pt idx="21">
                  <c:v>0.13999999999999999</c:v>
                </c:pt>
                <c:pt idx="22">
                  <c:v>0.14666666666666664</c:v>
                </c:pt>
                <c:pt idx="23">
                  <c:v>0.1533333333333333</c:v>
                </c:pt>
                <c:pt idx="24">
                  <c:v>0.15999999999999995</c:v>
                </c:pt>
                <c:pt idx="25">
                  <c:v>0.1666666666666666</c:v>
                </c:pt>
                <c:pt idx="26">
                  <c:v>0.17333333333333326</c:v>
                </c:pt>
                <c:pt idx="27">
                  <c:v>0.1799999999999999</c:v>
                </c:pt>
                <c:pt idx="28">
                  <c:v>0.18666666666666656</c:v>
                </c:pt>
                <c:pt idx="29">
                  <c:v>0.19333333333333322</c:v>
                </c:pt>
                <c:pt idx="30">
                  <c:v>0.19999999999999987</c:v>
                </c:pt>
                <c:pt idx="31">
                  <c:v>0.20666666666666653</c:v>
                </c:pt>
                <c:pt idx="32">
                  <c:v>0.21333333333333318</c:v>
                </c:pt>
                <c:pt idx="33">
                  <c:v>0.21999999999999983</c:v>
                </c:pt>
                <c:pt idx="34">
                  <c:v>0.2266666666666665</c:v>
                </c:pt>
                <c:pt idx="35">
                  <c:v>0.23333333333333314</c:v>
                </c:pt>
                <c:pt idx="36">
                  <c:v>0.2399999999999998</c:v>
                </c:pt>
                <c:pt idx="37">
                  <c:v>0.24666666666666645</c:v>
                </c:pt>
                <c:pt idx="38">
                  <c:v>0.25333333333333313</c:v>
                </c:pt>
                <c:pt idx="39">
                  <c:v>0.2599999999999998</c:v>
                </c:pt>
                <c:pt idx="40">
                  <c:v>0.26666666666666644</c:v>
                </c:pt>
                <c:pt idx="41">
                  <c:v>0.2733333333333331</c:v>
                </c:pt>
                <c:pt idx="42">
                  <c:v>0.27999999999999975</c:v>
                </c:pt>
                <c:pt idx="43">
                  <c:v>0.2866666666666664</c:v>
                </c:pt>
                <c:pt idx="44">
                  <c:v>0.29333333333333306</c:v>
                </c:pt>
                <c:pt idx="45">
                  <c:v>0.2999999999999997</c:v>
                </c:pt>
                <c:pt idx="46">
                  <c:v>0.30666666666666637</c:v>
                </c:pt>
                <c:pt idx="47">
                  <c:v>0.313333333333333</c:v>
                </c:pt>
                <c:pt idx="48">
                  <c:v>0.3199999999999997</c:v>
                </c:pt>
                <c:pt idx="49">
                  <c:v>0.3266666666666663</c:v>
                </c:pt>
                <c:pt idx="50">
                  <c:v>0.333333333333333</c:v>
                </c:pt>
                <c:pt idx="51">
                  <c:v>0.33999999999999964</c:v>
                </c:pt>
                <c:pt idx="52">
                  <c:v>0.3466666666666663</c:v>
                </c:pt>
                <c:pt idx="53">
                  <c:v>0.35333333333333294</c:v>
                </c:pt>
                <c:pt idx="54">
                  <c:v>0.3599999999999996</c:v>
                </c:pt>
                <c:pt idx="55">
                  <c:v>0.36666666666666625</c:v>
                </c:pt>
                <c:pt idx="56">
                  <c:v>0.3733333333333329</c:v>
                </c:pt>
                <c:pt idx="57">
                  <c:v>0.37999999999999956</c:v>
                </c:pt>
                <c:pt idx="58">
                  <c:v>0.3866666666666662</c:v>
                </c:pt>
                <c:pt idx="59">
                  <c:v>0.39333333333333287</c:v>
                </c:pt>
                <c:pt idx="60">
                  <c:v>0.3999999999999995</c:v>
                </c:pt>
                <c:pt idx="61">
                  <c:v>0.4066666666666662</c:v>
                </c:pt>
                <c:pt idx="62">
                  <c:v>0.41333333333333283</c:v>
                </c:pt>
                <c:pt idx="63">
                  <c:v>0.4199999999999995</c:v>
                </c:pt>
                <c:pt idx="64">
                  <c:v>0.42666666666666614</c:v>
                </c:pt>
                <c:pt idx="65">
                  <c:v>0.4333333333333328</c:v>
                </c:pt>
                <c:pt idx="66">
                  <c:v>0.43999999999999945</c:v>
                </c:pt>
                <c:pt idx="67">
                  <c:v>0.4466666666666661</c:v>
                </c:pt>
                <c:pt idx="68">
                  <c:v>0.45333333333333276</c:v>
                </c:pt>
                <c:pt idx="69">
                  <c:v>0.4599999999999994</c:v>
                </c:pt>
                <c:pt idx="70">
                  <c:v>0.46666666666666606</c:v>
                </c:pt>
                <c:pt idx="71">
                  <c:v>0.4733333333333327</c:v>
                </c:pt>
                <c:pt idx="72">
                  <c:v>0.47999999999999937</c:v>
                </c:pt>
                <c:pt idx="73">
                  <c:v>0.486666666666666</c:v>
                </c:pt>
                <c:pt idx="74">
                  <c:v>0.4933333333333327</c:v>
                </c:pt>
                <c:pt idx="75">
                  <c:v>0.49999999999999933</c:v>
                </c:pt>
                <c:pt idx="76">
                  <c:v>0.506666666666666</c:v>
                </c:pt>
                <c:pt idx="77">
                  <c:v>0.5133333333333328</c:v>
                </c:pt>
                <c:pt idx="78">
                  <c:v>0.5199999999999995</c:v>
                </c:pt>
                <c:pt idx="79">
                  <c:v>0.5266666666666662</c:v>
                </c:pt>
                <c:pt idx="80">
                  <c:v>0.5333333333333329</c:v>
                </c:pt>
                <c:pt idx="81">
                  <c:v>0.5399999999999996</c:v>
                </c:pt>
                <c:pt idx="82">
                  <c:v>0.5466666666666663</c:v>
                </c:pt>
                <c:pt idx="83">
                  <c:v>0.553333333333333</c:v>
                </c:pt>
                <c:pt idx="84">
                  <c:v>0.5599999999999997</c:v>
                </c:pt>
                <c:pt idx="85">
                  <c:v>0.5666666666666664</c:v>
                </c:pt>
                <c:pt idx="86">
                  <c:v>0.5733333333333331</c:v>
                </c:pt>
                <c:pt idx="87">
                  <c:v>0.5799999999999998</c:v>
                </c:pt>
                <c:pt idx="88">
                  <c:v>0.5866666666666666</c:v>
                </c:pt>
                <c:pt idx="89">
                  <c:v>0.5933333333333333</c:v>
                </c:pt>
                <c:pt idx="90">
                  <c:v>0.6</c:v>
                </c:pt>
                <c:pt idx="91">
                  <c:v>0.6066666666666667</c:v>
                </c:pt>
                <c:pt idx="92">
                  <c:v>0.6133333333333334</c:v>
                </c:pt>
                <c:pt idx="93">
                  <c:v>0.6200000000000001</c:v>
                </c:pt>
                <c:pt idx="94">
                  <c:v>0.6266666666666668</c:v>
                </c:pt>
                <c:pt idx="95">
                  <c:v>0.6333333333333335</c:v>
                </c:pt>
                <c:pt idx="96">
                  <c:v>0.6400000000000002</c:v>
                </c:pt>
                <c:pt idx="97">
                  <c:v>0.646666666666667</c:v>
                </c:pt>
                <c:pt idx="98">
                  <c:v>0.6533333333333337</c:v>
                </c:pt>
                <c:pt idx="99">
                  <c:v>0.6600000000000004</c:v>
                </c:pt>
                <c:pt idx="100">
                  <c:v>0.6666666666666671</c:v>
                </c:pt>
                <c:pt idx="101">
                  <c:v>0.6733333333333338</c:v>
                </c:pt>
                <c:pt idx="102">
                  <c:v>0.6800000000000005</c:v>
                </c:pt>
                <c:pt idx="103">
                  <c:v>0.6866666666666672</c:v>
                </c:pt>
                <c:pt idx="104">
                  <c:v>0.6933333333333339</c:v>
                </c:pt>
                <c:pt idx="105">
                  <c:v>0.7000000000000006</c:v>
                </c:pt>
                <c:pt idx="106">
                  <c:v>0.7066666666666673</c:v>
                </c:pt>
                <c:pt idx="107">
                  <c:v>0.713333333333334</c:v>
                </c:pt>
                <c:pt idx="108">
                  <c:v>0.7200000000000008</c:v>
                </c:pt>
                <c:pt idx="109">
                  <c:v>0.7266666666666675</c:v>
                </c:pt>
                <c:pt idx="110">
                  <c:v>0.7333333333333342</c:v>
                </c:pt>
                <c:pt idx="111">
                  <c:v>0.7400000000000009</c:v>
                </c:pt>
                <c:pt idx="112">
                  <c:v>0.7466666666666676</c:v>
                </c:pt>
                <c:pt idx="113">
                  <c:v>0.7533333333333343</c:v>
                </c:pt>
                <c:pt idx="114">
                  <c:v>0.760000000000001</c:v>
                </c:pt>
                <c:pt idx="115">
                  <c:v>0.7666666666666677</c:v>
                </c:pt>
                <c:pt idx="116">
                  <c:v>0.7733333333333344</c:v>
                </c:pt>
                <c:pt idx="117">
                  <c:v>0.7800000000000011</c:v>
                </c:pt>
                <c:pt idx="118">
                  <c:v>0.7866666666666678</c:v>
                </c:pt>
                <c:pt idx="119">
                  <c:v>0.7933333333333346</c:v>
                </c:pt>
                <c:pt idx="120">
                  <c:v>0.8000000000000013</c:v>
                </c:pt>
                <c:pt idx="121">
                  <c:v>0.806666666666668</c:v>
                </c:pt>
                <c:pt idx="122">
                  <c:v>0.8133333333333347</c:v>
                </c:pt>
                <c:pt idx="123">
                  <c:v>0.8200000000000014</c:v>
                </c:pt>
                <c:pt idx="124">
                  <c:v>0.8266666666666681</c:v>
                </c:pt>
                <c:pt idx="125">
                  <c:v>0.8333333333333348</c:v>
                </c:pt>
                <c:pt idx="126">
                  <c:v>0.8400000000000015</c:v>
                </c:pt>
                <c:pt idx="127">
                  <c:v>0.8466666666666682</c:v>
                </c:pt>
                <c:pt idx="128">
                  <c:v>0.8533333333333349</c:v>
                </c:pt>
                <c:pt idx="129">
                  <c:v>0.8600000000000017</c:v>
                </c:pt>
                <c:pt idx="130">
                  <c:v>0.8666666666666684</c:v>
                </c:pt>
                <c:pt idx="131">
                  <c:v>0.8733333333333351</c:v>
                </c:pt>
                <c:pt idx="132">
                  <c:v>0.8800000000000018</c:v>
                </c:pt>
                <c:pt idx="133">
                  <c:v>0.8866666666666685</c:v>
                </c:pt>
                <c:pt idx="134">
                  <c:v>0.8933333333333352</c:v>
                </c:pt>
                <c:pt idx="135">
                  <c:v>0.9000000000000019</c:v>
                </c:pt>
              </c:numCache>
            </c:numRef>
          </c:cat>
          <c:val>
            <c:numRef>
              <c:f>'throwing calculations'!$B$4:$EG$4</c:f>
              <c:numCache>
                <c:ptCount val="136"/>
                <c:pt idx="0">
                  <c:v>0</c:v>
                </c:pt>
                <c:pt idx="1">
                  <c:v>15.90972026482474</c:v>
                </c:pt>
                <c:pt idx="2">
                  <c:v>13.662952642168658</c:v>
                </c:pt>
                <c:pt idx="3">
                  <c:v>11.172277181683084</c:v>
                </c:pt>
                <c:pt idx="4">
                  <c:v>9.625867205496352</c:v>
                </c:pt>
                <c:pt idx="5">
                  <c:v>8.574299625063647</c:v>
                </c:pt>
                <c:pt idx="6">
                  <c:v>7.812026582745538</c:v>
                </c:pt>
                <c:pt idx="7">
                  <c:v>7.233264866832316</c:v>
                </c:pt>
                <c:pt idx="8">
                  <c:v>6.778278965497796</c:v>
                </c:pt>
                <c:pt idx="9">
                  <c:v>6.410830263326348</c:v>
                </c:pt>
                <c:pt idx="10">
                  <c:v>6.1076586362992185</c:v>
                </c:pt>
                <c:pt idx="11">
                  <c:v>5.853141434296071</c:v>
                </c:pt>
                <c:pt idx="12">
                  <c:v>5.636388262038288</c:v>
                </c:pt>
                <c:pt idx="13">
                  <c:v>5.4495687412727385</c:v>
                </c:pt>
                <c:pt idx="14">
                  <c:v>5.286903449753322</c:v>
                </c:pt>
                <c:pt idx="15">
                  <c:v>5.144030224880132</c:v>
                </c:pt>
                <c:pt idx="16">
                  <c:v>5.017592352775777</c:v>
                </c:pt>
                <c:pt idx="17">
                  <c:v>4.904962910990761</c:v>
                </c:pt>
                <c:pt idx="18">
                  <c:v>4.80405541589809</c:v>
                </c:pt>
                <c:pt idx="19">
                  <c:v>4.7131907573338445</c:v>
                </c:pt>
                <c:pt idx="20">
                  <c:v>4.631001779373639</c:v>
                </c:pt>
                <c:pt idx="21">
                  <c:v>4.556363610346108</c:v>
                </c:pt>
                <c:pt idx="22">
                  <c:v>4.488341961972806</c:v>
                </c:pt>
                <c:pt idx="23">
                  <c:v>4.4261541971057055</c:v>
                </c:pt>
                <c:pt idx="24">
                  <c:v>4.36913962041623</c:v>
                </c:pt>
                <c:pt idx="25">
                  <c:v>4.316736530912614</c:v>
                </c:pt>
                <c:pt idx="26">
                  <c:v>4.268464299800271</c:v>
                </c:pt>
                <c:pt idx="27">
                  <c:v>4.223909230014476</c:v>
                </c:pt>
                <c:pt idx="28">
                  <c:v>4.182713294385294</c:v>
                </c:pt>
                <c:pt idx="29">
                  <c:v>4.144565088373742</c:v>
                </c:pt>
                <c:pt idx="30">
                  <c:v>4.109192503303031</c:v>
                </c:pt>
                <c:pt idx="31">
                  <c:v>4.076356748469062</c:v>
                </c:pt>
                <c:pt idx="32">
                  <c:v>4.045847439785894</c:v>
                </c:pt>
                <c:pt idx="33">
                  <c:v>4.017478538420747</c:v>
                </c:pt>
                <c:pt idx="34">
                  <c:v>4.062415630719616</c:v>
                </c:pt>
                <c:pt idx="35">
                  <c:v>4.183783771424317</c:v>
                </c:pt>
                <c:pt idx="36">
                  <c:v>4.305151912129019</c:v>
                </c:pt>
                <c:pt idx="37">
                  <c:v>4.4265200528337205</c:v>
                </c:pt>
                <c:pt idx="38">
                  <c:v>4.547888193538422</c:v>
                </c:pt>
                <c:pt idx="39">
                  <c:v>4.669256334243124</c:v>
                </c:pt>
                <c:pt idx="40">
                  <c:v>4.790624474947825</c:v>
                </c:pt>
                <c:pt idx="41">
                  <c:v>4.911992615652527</c:v>
                </c:pt>
                <c:pt idx="42">
                  <c:v>5.0333607563572285</c:v>
                </c:pt>
                <c:pt idx="43">
                  <c:v>5.15472889706193</c:v>
                </c:pt>
                <c:pt idx="44">
                  <c:v>5.276097037766631</c:v>
                </c:pt>
                <c:pt idx="45">
                  <c:v>5.397465178471332</c:v>
                </c:pt>
                <c:pt idx="46">
                  <c:v>5.518833319176033</c:v>
                </c:pt>
                <c:pt idx="47">
                  <c:v>5.640201459880735</c:v>
                </c:pt>
                <c:pt idx="48">
                  <c:v>5.761569600585435</c:v>
                </c:pt>
                <c:pt idx="49">
                  <c:v>5.882937741290137</c:v>
                </c:pt>
                <c:pt idx="50">
                  <c:v>6.004305881994838</c:v>
                </c:pt>
                <c:pt idx="51">
                  <c:v>6.125674022699539</c:v>
                </c:pt>
                <c:pt idx="52">
                  <c:v>6.24704216340424</c:v>
                </c:pt>
                <c:pt idx="53">
                  <c:v>6.3684103041089415</c:v>
                </c:pt>
                <c:pt idx="54">
                  <c:v>6.489778444813642</c:v>
                </c:pt>
                <c:pt idx="55">
                  <c:v>6.611146585518344</c:v>
                </c:pt>
                <c:pt idx="56">
                  <c:v>6.7325147262230445</c:v>
                </c:pt>
                <c:pt idx="57">
                  <c:v>6.853882866927746</c:v>
                </c:pt>
                <c:pt idx="58">
                  <c:v>6.975251007632447</c:v>
                </c:pt>
                <c:pt idx="59">
                  <c:v>7.096619148337148</c:v>
                </c:pt>
                <c:pt idx="60">
                  <c:v>7.217987289041849</c:v>
                </c:pt>
                <c:pt idx="61">
                  <c:v>7.339355429746551</c:v>
                </c:pt>
                <c:pt idx="62">
                  <c:v>7.460723570451251</c:v>
                </c:pt>
                <c:pt idx="63">
                  <c:v>7.582091711155953</c:v>
                </c:pt>
                <c:pt idx="64">
                  <c:v>7.703459851860654</c:v>
                </c:pt>
                <c:pt idx="65">
                  <c:v>7.824827992565355</c:v>
                </c:pt>
                <c:pt idx="66">
                  <c:v>7.946196133270056</c:v>
                </c:pt>
                <c:pt idx="67">
                  <c:v>8.067564273974757</c:v>
                </c:pt>
                <c:pt idx="68">
                  <c:v>8.188932414679458</c:v>
                </c:pt>
                <c:pt idx="69">
                  <c:v>8.31030055538416</c:v>
                </c:pt>
                <c:pt idx="70">
                  <c:v>8.431668696088861</c:v>
                </c:pt>
                <c:pt idx="71">
                  <c:v>8.553036836793561</c:v>
                </c:pt>
                <c:pt idx="72">
                  <c:v>8.674404977498263</c:v>
                </c:pt>
                <c:pt idx="73">
                  <c:v>8.795773118202964</c:v>
                </c:pt>
                <c:pt idx="74">
                  <c:v>8.8493142431769</c:v>
                </c:pt>
                <c:pt idx="75">
                  <c:v>8.888127024945222</c:v>
                </c:pt>
                <c:pt idx="76">
                  <c:v>8.926939806713541</c:v>
                </c:pt>
                <c:pt idx="77">
                  <c:v>8.96575258848186</c:v>
                </c:pt>
                <c:pt idx="78">
                  <c:v>9.00456537025018</c:v>
                </c:pt>
                <c:pt idx="79">
                  <c:v>9.0433781520185</c:v>
                </c:pt>
                <c:pt idx="80">
                  <c:v>9.082190933786821</c:v>
                </c:pt>
                <c:pt idx="81">
                  <c:v>9.121003715555139</c:v>
                </c:pt>
                <c:pt idx="82">
                  <c:v>9.159816497323458</c:v>
                </c:pt>
                <c:pt idx="83">
                  <c:v>9.19862927909178</c:v>
                </c:pt>
                <c:pt idx="84">
                  <c:v>9.237442060860099</c:v>
                </c:pt>
                <c:pt idx="85">
                  <c:v>9.276254842628418</c:v>
                </c:pt>
                <c:pt idx="86">
                  <c:v>9.315067624396736</c:v>
                </c:pt>
                <c:pt idx="87">
                  <c:v>9.353880406165057</c:v>
                </c:pt>
                <c:pt idx="88">
                  <c:v>9.392693187933377</c:v>
                </c:pt>
                <c:pt idx="89">
                  <c:v>9.431505969701696</c:v>
                </c:pt>
                <c:pt idx="90">
                  <c:v>9.470318751470016</c:v>
                </c:pt>
                <c:pt idx="91">
                  <c:v>9.509131533238335</c:v>
                </c:pt>
                <c:pt idx="92">
                  <c:v>9.547944315006657</c:v>
                </c:pt>
                <c:pt idx="93">
                  <c:v>9.586757096774974</c:v>
                </c:pt>
                <c:pt idx="94">
                  <c:v>9.625569878543294</c:v>
                </c:pt>
                <c:pt idx="95">
                  <c:v>9.664382660311613</c:v>
                </c:pt>
                <c:pt idx="96">
                  <c:v>9.703195442079934</c:v>
                </c:pt>
                <c:pt idx="97">
                  <c:v>9.742008223848254</c:v>
                </c:pt>
                <c:pt idx="98">
                  <c:v>9.780821005616572</c:v>
                </c:pt>
                <c:pt idx="99">
                  <c:v>9.819633787384893</c:v>
                </c:pt>
                <c:pt idx="100">
                  <c:v>9.858446569153212</c:v>
                </c:pt>
                <c:pt idx="101">
                  <c:v>9.897259350921532</c:v>
                </c:pt>
                <c:pt idx="102">
                  <c:v>9.936072132689851</c:v>
                </c:pt>
                <c:pt idx="103">
                  <c:v>9.97488491445817</c:v>
                </c:pt>
                <c:pt idx="104">
                  <c:v>10.013697696226492</c:v>
                </c:pt>
                <c:pt idx="105">
                  <c:v>10.05251047799481</c:v>
                </c:pt>
                <c:pt idx="106">
                  <c:v>10.09132325976313</c:v>
                </c:pt>
                <c:pt idx="107">
                  <c:v>10.130136041531449</c:v>
                </c:pt>
                <c:pt idx="108">
                  <c:v>10.16894882329977</c:v>
                </c:pt>
                <c:pt idx="109">
                  <c:v>10.20776160506809</c:v>
                </c:pt>
                <c:pt idx="110">
                  <c:v>10.246574386836407</c:v>
                </c:pt>
                <c:pt idx="111">
                  <c:v>10.285387168604728</c:v>
                </c:pt>
                <c:pt idx="112">
                  <c:v>10.324199950373048</c:v>
                </c:pt>
                <c:pt idx="113">
                  <c:v>10.363012732141367</c:v>
                </c:pt>
                <c:pt idx="114">
                  <c:v>10.401825513909687</c:v>
                </c:pt>
                <c:pt idx="115">
                  <c:v>10.440638295678006</c:v>
                </c:pt>
                <c:pt idx="116">
                  <c:v>10.479451077446326</c:v>
                </c:pt>
                <c:pt idx="117">
                  <c:v>10.518263859214645</c:v>
                </c:pt>
                <c:pt idx="118">
                  <c:v>10.557076640982965</c:v>
                </c:pt>
                <c:pt idx="119">
                  <c:v>10.595889422751284</c:v>
                </c:pt>
                <c:pt idx="120">
                  <c:v>10.634702204519606</c:v>
                </c:pt>
                <c:pt idx="121">
                  <c:v>10.673514986287923</c:v>
                </c:pt>
                <c:pt idx="122">
                  <c:v>10.712327768056243</c:v>
                </c:pt>
                <c:pt idx="123">
                  <c:v>10.751140549824564</c:v>
                </c:pt>
                <c:pt idx="124">
                  <c:v>10.789953331592884</c:v>
                </c:pt>
                <c:pt idx="125">
                  <c:v>10.828766113361203</c:v>
                </c:pt>
                <c:pt idx="126">
                  <c:v>10.86757889512952</c:v>
                </c:pt>
                <c:pt idx="127">
                  <c:v>10.906391676897842</c:v>
                </c:pt>
                <c:pt idx="128">
                  <c:v>10.945204458666161</c:v>
                </c:pt>
                <c:pt idx="129">
                  <c:v>10.984017240434481</c:v>
                </c:pt>
                <c:pt idx="130">
                  <c:v>11.0228300222028</c:v>
                </c:pt>
                <c:pt idx="131">
                  <c:v>11.06164280397112</c:v>
                </c:pt>
                <c:pt idx="132">
                  <c:v>11.100455585739441</c:v>
                </c:pt>
                <c:pt idx="133">
                  <c:v>11.139268367507759</c:v>
                </c:pt>
                <c:pt idx="134">
                  <c:v>11.178081149276078</c:v>
                </c:pt>
                <c:pt idx="135">
                  <c:v>11.2168939310444</c:v>
                </c:pt>
              </c:numCache>
            </c:numRef>
          </c:val>
          <c:smooth val="0"/>
        </c:ser>
        <c:ser>
          <c:idx val="1"/>
          <c:order val="1"/>
          <c:tx>
            <c:v>Buffer tank pressure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'throwing calculations'!$B$1:$EG$1</c:f>
              <c:numCache>
                <c:ptCount val="136"/>
                <c:pt idx="0">
                  <c:v>0</c:v>
                </c:pt>
                <c:pt idx="1">
                  <c:v>0.006666666666666667</c:v>
                </c:pt>
                <c:pt idx="2">
                  <c:v>0.013333333333333334</c:v>
                </c:pt>
                <c:pt idx="3">
                  <c:v>0.02</c:v>
                </c:pt>
                <c:pt idx="4">
                  <c:v>0.02666666666666667</c:v>
                </c:pt>
                <c:pt idx="5">
                  <c:v>0.03333333333333333</c:v>
                </c:pt>
                <c:pt idx="6">
                  <c:v>0.04</c:v>
                </c:pt>
                <c:pt idx="7">
                  <c:v>0.04666666666666667</c:v>
                </c:pt>
                <c:pt idx="8">
                  <c:v>0.05333333333333334</c:v>
                </c:pt>
                <c:pt idx="9">
                  <c:v>0.060000000000000005</c:v>
                </c:pt>
                <c:pt idx="10">
                  <c:v>0.06666666666666667</c:v>
                </c:pt>
                <c:pt idx="11">
                  <c:v>0.07333333333333333</c:v>
                </c:pt>
                <c:pt idx="12">
                  <c:v>0.08</c:v>
                </c:pt>
                <c:pt idx="13">
                  <c:v>0.08666666666666667</c:v>
                </c:pt>
                <c:pt idx="14">
                  <c:v>0.09333333333333334</c:v>
                </c:pt>
                <c:pt idx="15">
                  <c:v>0.1</c:v>
                </c:pt>
                <c:pt idx="16">
                  <c:v>0.10666666666666667</c:v>
                </c:pt>
                <c:pt idx="17">
                  <c:v>0.11333333333333334</c:v>
                </c:pt>
                <c:pt idx="18">
                  <c:v>0.12000000000000001</c:v>
                </c:pt>
                <c:pt idx="19">
                  <c:v>0.12666666666666668</c:v>
                </c:pt>
                <c:pt idx="20">
                  <c:v>0.13333333333333333</c:v>
                </c:pt>
                <c:pt idx="21">
                  <c:v>0.13999999999999999</c:v>
                </c:pt>
                <c:pt idx="22">
                  <c:v>0.14666666666666664</c:v>
                </c:pt>
                <c:pt idx="23">
                  <c:v>0.1533333333333333</c:v>
                </c:pt>
                <c:pt idx="24">
                  <c:v>0.15999999999999995</c:v>
                </c:pt>
                <c:pt idx="25">
                  <c:v>0.1666666666666666</c:v>
                </c:pt>
                <c:pt idx="26">
                  <c:v>0.17333333333333326</c:v>
                </c:pt>
                <c:pt idx="27">
                  <c:v>0.1799999999999999</c:v>
                </c:pt>
                <c:pt idx="28">
                  <c:v>0.18666666666666656</c:v>
                </c:pt>
                <c:pt idx="29">
                  <c:v>0.19333333333333322</c:v>
                </c:pt>
                <c:pt idx="30">
                  <c:v>0.19999999999999987</c:v>
                </c:pt>
                <c:pt idx="31">
                  <c:v>0.20666666666666653</c:v>
                </c:pt>
                <c:pt idx="32">
                  <c:v>0.21333333333333318</c:v>
                </c:pt>
                <c:pt idx="33">
                  <c:v>0.21999999999999983</c:v>
                </c:pt>
                <c:pt idx="34">
                  <c:v>0.2266666666666665</c:v>
                </c:pt>
                <c:pt idx="35">
                  <c:v>0.23333333333333314</c:v>
                </c:pt>
                <c:pt idx="36">
                  <c:v>0.2399999999999998</c:v>
                </c:pt>
                <c:pt idx="37">
                  <c:v>0.24666666666666645</c:v>
                </c:pt>
                <c:pt idx="38">
                  <c:v>0.25333333333333313</c:v>
                </c:pt>
                <c:pt idx="39">
                  <c:v>0.2599999999999998</c:v>
                </c:pt>
                <c:pt idx="40">
                  <c:v>0.26666666666666644</c:v>
                </c:pt>
                <c:pt idx="41">
                  <c:v>0.2733333333333331</c:v>
                </c:pt>
                <c:pt idx="42">
                  <c:v>0.27999999999999975</c:v>
                </c:pt>
                <c:pt idx="43">
                  <c:v>0.2866666666666664</c:v>
                </c:pt>
                <c:pt idx="44">
                  <c:v>0.29333333333333306</c:v>
                </c:pt>
                <c:pt idx="45">
                  <c:v>0.2999999999999997</c:v>
                </c:pt>
                <c:pt idx="46">
                  <c:v>0.30666666666666637</c:v>
                </c:pt>
                <c:pt idx="47">
                  <c:v>0.313333333333333</c:v>
                </c:pt>
                <c:pt idx="48">
                  <c:v>0.3199999999999997</c:v>
                </c:pt>
                <c:pt idx="49">
                  <c:v>0.3266666666666663</c:v>
                </c:pt>
                <c:pt idx="50">
                  <c:v>0.333333333333333</c:v>
                </c:pt>
                <c:pt idx="51">
                  <c:v>0.33999999999999964</c:v>
                </c:pt>
                <c:pt idx="52">
                  <c:v>0.3466666666666663</c:v>
                </c:pt>
                <c:pt idx="53">
                  <c:v>0.35333333333333294</c:v>
                </c:pt>
                <c:pt idx="54">
                  <c:v>0.3599999999999996</c:v>
                </c:pt>
                <c:pt idx="55">
                  <c:v>0.36666666666666625</c:v>
                </c:pt>
                <c:pt idx="56">
                  <c:v>0.3733333333333329</c:v>
                </c:pt>
                <c:pt idx="57">
                  <c:v>0.37999999999999956</c:v>
                </c:pt>
                <c:pt idx="58">
                  <c:v>0.3866666666666662</c:v>
                </c:pt>
                <c:pt idx="59">
                  <c:v>0.39333333333333287</c:v>
                </c:pt>
                <c:pt idx="60">
                  <c:v>0.3999999999999995</c:v>
                </c:pt>
                <c:pt idx="61">
                  <c:v>0.4066666666666662</c:v>
                </c:pt>
                <c:pt idx="62">
                  <c:v>0.41333333333333283</c:v>
                </c:pt>
                <c:pt idx="63">
                  <c:v>0.4199999999999995</c:v>
                </c:pt>
                <c:pt idx="64">
                  <c:v>0.42666666666666614</c:v>
                </c:pt>
                <c:pt idx="65">
                  <c:v>0.4333333333333328</c:v>
                </c:pt>
                <c:pt idx="66">
                  <c:v>0.43999999999999945</c:v>
                </c:pt>
                <c:pt idx="67">
                  <c:v>0.4466666666666661</c:v>
                </c:pt>
                <c:pt idx="68">
                  <c:v>0.45333333333333276</c:v>
                </c:pt>
                <c:pt idx="69">
                  <c:v>0.4599999999999994</c:v>
                </c:pt>
                <c:pt idx="70">
                  <c:v>0.46666666666666606</c:v>
                </c:pt>
                <c:pt idx="71">
                  <c:v>0.4733333333333327</c:v>
                </c:pt>
                <c:pt idx="72">
                  <c:v>0.47999999999999937</c:v>
                </c:pt>
                <c:pt idx="73">
                  <c:v>0.486666666666666</c:v>
                </c:pt>
                <c:pt idx="74">
                  <c:v>0.4933333333333327</c:v>
                </c:pt>
                <c:pt idx="75">
                  <c:v>0.49999999999999933</c:v>
                </c:pt>
                <c:pt idx="76">
                  <c:v>0.506666666666666</c:v>
                </c:pt>
                <c:pt idx="77">
                  <c:v>0.5133333333333328</c:v>
                </c:pt>
                <c:pt idx="78">
                  <c:v>0.5199999999999995</c:v>
                </c:pt>
                <c:pt idx="79">
                  <c:v>0.5266666666666662</c:v>
                </c:pt>
                <c:pt idx="80">
                  <c:v>0.5333333333333329</c:v>
                </c:pt>
                <c:pt idx="81">
                  <c:v>0.5399999999999996</c:v>
                </c:pt>
                <c:pt idx="82">
                  <c:v>0.5466666666666663</c:v>
                </c:pt>
                <c:pt idx="83">
                  <c:v>0.553333333333333</c:v>
                </c:pt>
                <c:pt idx="84">
                  <c:v>0.5599999999999997</c:v>
                </c:pt>
                <c:pt idx="85">
                  <c:v>0.5666666666666664</c:v>
                </c:pt>
                <c:pt idx="86">
                  <c:v>0.5733333333333331</c:v>
                </c:pt>
                <c:pt idx="87">
                  <c:v>0.5799999999999998</c:v>
                </c:pt>
                <c:pt idx="88">
                  <c:v>0.5866666666666666</c:v>
                </c:pt>
                <c:pt idx="89">
                  <c:v>0.5933333333333333</c:v>
                </c:pt>
                <c:pt idx="90">
                  <c:v>0.6</c:v>
                </c:pt>
                <c:pt idx="91">
                  <c:v>0.6066666666666667</c:v>
                </c:pt>
                <c:pt idx="92">
                  <c:v>0.6133333333333334</c:v>
                </c:pt>
                <c:pt idx="93">
                  <c:v>0.6200000000000001</c:v>
                </c:pt>
                <c:pt idx="94">
                  <c:v>0.6266666666666668</c:v>
                </c:pt>
                <c:pt idx="95">
                  <c:v>0.6333333333333335</c:v>
                </c:pt>
                <c:pt idx="96">
                  <c:v>0.6400000000000002</c:v>
                </c:pt>
                <c:pt idx="97">
                  <c:v>0.646666666666667</c:v>
                </c:pt>
                <c:pt idx="98">
                  <c:v>0.6533333333333337</c:v>
                </c:pt>
                <c:pt idx="99">
                  <c:v>0.6600000000000004</c:v>
                </c:pt>
                <c:pt idx="100">
                  <c:v>0.6666666666666671</c:v>
                </c:pt>
                <c:pt idx="101">
                  <c:v>0.6733333333333338</c:v>
                </c:pt>
                <c:pt idx="102">
                  <c:v>0.6800000000000005</c:v>
                </c:pt>
                <c:pt idx="103">
                  <c:v>0.6866666666666672</c:v>
                </c:pt>
                <c:pt idx="104">
                  <c:v>0.6933333333333339</c:v>
                </c:pt>
                <c:pt idx="105">
                  <c:v>0.7000000000000006</c:v>
                </c:pt>
                <c:pt idx="106">
                  <c:v>0.7066666666666673</c:v>
                </c:pt>
                <c:pt idx="107">
                  <c:v>0.713333333333334</c:v>
                </c:pt>
                <c:pt idx="108">
                  <c:v>0.7200000000000008</c:v>
                </c:pt>
                <c:pt idx="109">
                  <c:v>0.7266666666666675</c:v>
                </c:pt>
                <c:pt idx="110">
                  <c:v>0.7333333333333342</c:v>
                </c:pt>
                <c:pt idx="111">
                  <c:v>0.7400000000000009</c:v>
                </c:pt>
                <c:pt idx="112">
                  <c:v>0.7466666666666676</c:v>
                </c:pt>
                <c:pt idx="113">
                  <c:v>0.7533333333333343</c:v>
                </c:pt>
                <c:pt idx="114">
                  <c:v>0.760000000000001</c:v>
                </c:pt>
                <c:pt idx="115">
                  <c:v>0.7666666666666677</c:v>
                </c:pt>
                <c:pt idx="116">
                  <c:v>0.7733333333333344</c:v>
                </c:pt>
                <c:pt idx="117">
                  <c:v>0.7800000000000011</c:v>
                </c:pt>
                <c:pt idx="118">
                  <c:v>0.7866666666666678</c:v>
                </c:pt>
                <c:pt idx="119">
                  <c:v>0.7933333333333346</c:v>
                </c:pt>
                <c:pt idx="120">
                  <c:v>0.8000000000000013</c:v>
                </c:pt>
                <c:pt idx="121">
                  <c:v>0.806666666666668</c:v>
                </c:pt>
                <c:pt idx="122">
                  <c:v>0.8133333333333347</c:v>
                </c:pt>
                <c:pt idx="123">
                  <c:v>0.8200000000000014</c:v>
                </c:pt>
                <c:pt idx="124">
                  <c:v>0.8266666666666681</c:v>
                </c:pt>
                <c:pt idx="125">
                  <c:v>0.8333333333333348</c:v>
                </c:pt>
                <c:pt idx="126">
                  <c:v>0.8400000000000015</c:v>
                </c:pt>
                <c:pt idx="127">
                  <c:v>0.8466666666666682</c:v>
                </c:pt>
                <c:pt idx="128">
                  <c:v>0.8533333333333349</c:v>
                </c:pt>
                <c:pt idx="129">
                  <c:v>0.8600000000000017</c:v>
                </c:pt>
                <c:pt idx="130">
                  <c:v>0.8666666666666684</c:v>
                </c:pt>
                <c:pt idx="131">
                  <c:v>0.8733333333333351</c:v>
                </c:pt>
                <c:pt idx="132">
                  <c:v>0.8800000000000018</c:v>
                </c:pt>
                <c:pt idx="133">
                  <c:v>0.8866666666666685</c:v>
                </c:pt>
                <c:pt idx="134">
                  <c:v>0.8933333333333352</c:v>
                </c:pt>
                <c:pt idx="135">
                  <c:v>0.9000000000000019</c:v>
                </c:pt>
              </c:numCache>
            </c:numRef>
          </c:cat>
          <c:val>
            <c:numRef>
              <c:f>'throwing calculations'!$B$7:$EG$7</c:f>
              <c:numCache>
                <c:ptCount val="136"/>
                <c:pt idx="0">
                  <c:v>16</c:v>
                </c:pt>
                <c:pt idx="1">
                  <c:v>15.90972026482474</c:v>
                </c:pt>
                <c:pt idx="2">
                  <c:v>15.718386931491407</c:v>
                </c:pt>
                <c:pt idx="3">
                  <c:v>15.527053598158073</c:v>
                </c:pt>
                <c:pt idx="4">
                  <c:v>15.33572026482474</c:v>
                </c:pt>
                <c:pt idx="5">
                  <c:v>15.144386931491407</c:v>
                </c:pt>
                <c:pt idx="6">
                  <c:v>15.053053598158074</c:v>
                </c:pt>
                <c:pt idx="7">
                  <c:v>14.96172026482474</c:v>
                </c:pt>
                <c:pt idx="8">
                  <c:v>14.870386931491408</c:v>
                </c:pt>
                <c:pt idx="9">
                  <c:v>14.779053598158072</c:v>
                </c:pt>
                <c:pt idx="10">
                  <c:v>14.68772026482474</c:v>
                </c:pt>
                <c:pt idx="11">
                  <c:v>14.59638693149141</c:v>
                </c:pt>
                <c:pt idx="12">
                  <c:v>14.505053598158073</c:v>
                </c:pt>
                <c:pt idx="13">
                  <c:v>14.413720264824741</c:v>
                </c:pt>
                <c:pt idx="14">
                  <c:v>14.322386931491407</c:v>
                </c:pt>
                <c:pt idx="15">
                  <c:v>14.231053598158073</c:v>
                </c:pt>
                <c:pt idx="16">
                  <c:v>14.139720264824742</c:v>
                </c:pt>
                <c:pt idx="17">
                  <c:v>14.048386931491407</c:v>
                </c:pt>
                <c:pt idx="18">
                  <c:v>13.957053598158076</c:v>
                </c:pt>
                <c:pt idx="19">
                  <c:v>13.865720264824741</c:v>
                </c:pt>
                <c:pt idx="20">
                  <c:v>13.774386931491408</c:v>
                </c:pt>
                <c:pt idx="21">
                  <c:v>13.683053598158077</c:v>
                </c:pt>
                <c:pt idx="22">
                  <c:v>13.591720264824742</c:v>
                </c:pt>
                <c:pt idx="23">
                  <c:v>13.50038693149141</c:v>
                </c:pt>
                <c:pt idx="24">
                  <c:v>13.409053598158078</c:v>
                </c:pt>
                <c:pt idx="25">
                  <c:v>13.317720264824743</c:v>
                </c:pt>
                <c:pt idx="26">
                  <c:v>13.22638693149141</c:v>
                </c:pt>
                <c:pt idx="27">
                  <c:v>13.135053598158073</c:v>
                </c:pt>
                <c:pt idx="28">
                  <c:v>13.043720264824742</c:v>
                </c:pt>
                <c:pt idx="29">
                  <c:v>12.95238693149141</c:v>
                </c:pt>
                <c:pt idx="30">
                  <c:v>12.861053598158074</c:v>
                </c:pt>
                <c:pt idx="31">
                  <c:v>12.769720264824741</c:v>
                </c:pt>
                <c:pt idx="32">
                  <c:v>12.67838693149141</c:v>
                </c:pt>
                <c:pt idx="33">
                  <c:v>12.587053598158075</c:v>
                </c:pt>
                <c:pt idx="34">
                  <c:v>12.495720264824742</c:v>
                </c:pt>
                <c:pt idx="35">
                  <c:v>12.404386931491405</c:v>
                </c:pt>
                <c:pt idx="36">
                  <c:v>12.313053598158074</c:v>
                </c:pt>
                <c:pt idx="37">
                  <c:v>12.221720264824743</c:v>
                </c:pt>
                <c:pt idx="38">
                  <c:v>12.130386931491408</c:v>
                </c:pt>
                <c:pt idx="39">
                  <c:v>12.039053598158075</c:v>
                </c:pt>
                <c:pt idx="40">
                  <c:v>11.94772026482474</c:v>
                </c:pt>
                <c:pt idx="41">
                  <c:v>11.856386931491407</c:v>
                </c:pt>
                <c:pt idx="42">
                  <c:v>11.765053598158076</c:v>
                </c:pt>
                <c:pt idx="43">
                  <c:v>11.673720264824741</c:v>
                </c:pt>
                <c:pt idx="44">
                  <c:v>11.58238693149141</c:v>
                </c:pt>
                <c:pt idx="45">
                  <c:v>11.491053598158075</c:v>
                </c:pt>
                <c:pt idx="46">
                  <c:v>11.399720264824744</c:v>
                </c:pt>
                <c:pt idx="47">
                  <c:v>11.308386931491412</c:v>
                </c:pt>
                <c:pt idx="48">
                  <c:v>11.217053598158078</c:v>
                </c:pt>
                <c:pt idx="49">
                  <c:v>11.125720264824743</c:v>
                </c:pt>
                <c:pt idx="50">
                  <c:v>11.034386931491412</c:v>
                </c:pt>
                <c:pt idx="51">
                  <c:v>10.94305359815808</c:v>
                </c:pt>
                <c:pt idx="52">
                  <c:v>10.851720264824745</c:v>
                </c:pt>
                <c:pt idx="53">
                  <c:v>10.76038693149141</c:v>
                </c:pt>
                <c:pt idx="54">
                  <c:v>10.66905359815808</c:v>
                </c:pt>
                <c:pt idx="55">
                  <c:v>10.577720264824748</c:v>
                </c:pt>
                <c:pt idx="56">
                  <c:v>10.486386931491413</c:v>
                </c:pt>
                <c:pt idx="57">
                  <c:v>10.395053598158079</c:v>
                </c:pt>
                <c:pt idx="58">
                  <c:v>10.303720264824747</c:v>
                </c:pt>
                <c:pt idx="59">
                  <c:v>10.212386931491416</c:v>
                </c:pt>
                <c:pt idx="60">
                  <c:v>10.121053598158081</c:v>
                </c:pt>
                <c:pt idx="61">
                  <c:v>10.029720264824746</c:v>
                </c:pt>
                <c:pt idx="62">
                  <c:v>9.938386931491415</c:v>
                </c:pt>
                <c:pt idx="63">
                  <c:v>9.847053598158084</c:v>
                </c:pt>
                <c:pt idx="64">
                  <c:v>9.755720264824749</c:v>
                </c:pt>
                <c:pt idx="65">
                  <c:v>9.664386931491414</c:v>
                </c:pt>
                <c:pt idx="66">
                  <c:v>9.573053598158083</c:v>
                </c:pt>
                <c:pt idx="67">
                  <c:v>9.481720264824753</c:v>
                </c:pt>
                <c:pt idx="68">
                  <c:v>9.390386931491417</c:v>
                </c:pt>
                <c:pt idx="69">
                  <c:v>9.299053598158082</c:v>
                </c:pt>
                <c:pt idx="70">
                  <c:v>9.20772026482475</c:v>
                </c:pt>
                <c:pt idx="71">
                  <c:v>9.116386931491421</c:v>
                </c:pt>
                <c:pt idx="72">
                  <c:v>9.025053598158085</c:v>
                </c:pt>
                <c:pt idx="73">
                  <c:v>8.93372026482475</c:v>
                </c:pt>
                <c:pt idx="74">
                  <c:v>8.949314243176905</c:v>
                </c:pt>
                <c:pt idx="75">
                  <c:v>8.988127024945225</c:v>
                </c:pt>
                <c:pt idx="76">
                  <c:v>9.026939806713543</c:v>
                </c:pt>
                <c:pt idx="77">
                  <c:v>9.06575258848186</c:v>
                </c:pt>
                <c:pt idx="78">
                  <c:v>9.104565370250182</c:v>
                </c:pt>
                <c:pt idx="79">
                  <c:v>9.143378152018505</c:v>
                </c:pt>
                <c:pt idx="80">
                  <c:v>9.182190933786819</c:v>
                </c:pt>
                <c:pt idx="81">
                  <c:v>9.22100371555514</c:v>
                </c:pt>
                <c:pt idx="82">
                  <c:v>9.259816497323461</c:v>
                </c:pt>
                <c:pt idx="83">
                  <c:v>9.29862927909178</c:v>
                </c:pt>
                <c:pt idx="84">
                  <c:v>9.337442060860099</c:v>
                </c:pt>
                <c:pt idx="85">
                  <c:v>9.376254842628416</c:v>
                </c:pt>
                <c:pt idx="86">
                  <c:v>9.415067624396741</c:v>
                </c:pt>
                <c:pt idx="87">
                  <c:v>9.45388040616506</c:v>
                </c:pt>
                <c:pt idx="88">
                  <c:v>9.492693187933378</c:v>
                </c:pt>
                <c:pt idx="89">
                  <c:v>9.531505969701696</c:v>
                </c:pt>
                <c:pt idx="90">
                  <c:v>9.570318751470017</c:v>
                </c:pt>
                <c:pt idx="91">
                  <c:v>9.60913153323834</c:v>
                </c:pt>
                <c:pt idx="92">
                  <c:v>9.647944315006654</c:v>
                </c:pt>
                <c:pt idx="93">
                  <c:v>9.686757096774976</c:v>
                </c:pt>
                <c:pt idx="94">
                  <c:v>9.725569878543297</c:v>
                </c:pt>
                <c:pt idx="95">
                  <c:v>9.764382660311618</c:v>
                </c:pt>
                <c:pt idx="96">
                  <c:v>9.803195442079934</c:v>
                </c:pt>
                <c:pt idx="97">
                  <c:v>9.842008223848252</c:v>
                </c:pt>
                <c:pt idx="98">
                  <c:v>9.880821005616577</c:v>
                </c:pt>
                <c:pt idx="99">
                  <c:v>9.919633787384896</c:v>
                </c:pt>
                <c:pt idx="100">
                  <c:v>9.958446569153214</c:v>
                </c:pt>
                <c:pt idx="101">
                  <c:v>9.997259350921532</c:v>
                </c:pt>
                <c:pt idx="102">
                  <c:v>10.036072132689853</c:v>
                </c:pt>
                <c:pt idx="103">
                  <c:v>10.074884914458174</c:v>
                </c:pt>
                <c:pt idx="104">
                  <c:v>10.11369769622649</c:v>
                </c:pt>
                <c:pt idx="105">
                  <c:v>10.152510477994811</c:v>
                </c:pt>
                <c:pt idx="106">
                  <c:v>10.191323259763132</c:v>
                </c:pt>
                <c:pt idx="107">
                  <c:v>10.230136041531454</c:v>
                </c:pt>
                <c:pt idx="108">
                  <c:v>10.26894882329977</c:v>
                </c:pt>
                <c:pt idx="109">
                  <c:v>10.307761605068087</c:v>
                </c:pt>
                <c:pt idx="110">
                  <c:v>10.346574386836412</c:v>
                </c:pt>
                <c:pt idx="111">
                  <c:v>10.38538716860473</c:v>
                </c:pt>
                <c:pt idx="112">
                  <c:v>10.424199950373048</c:v>
                </c:pt>
                <c:pt idx="113">
                  <c:v>10.463012732141365</c:v>
                </c:pt>
                <c:pt idx="114">
                  <c:v>10.50182551390969</c:v>
                </c:pt>
                <c:pt idx="115">
                  <c:v>10.540638295678011</c:v>
                </c:pt>
                <c:pt idx="116">
                  <c:v>10.579451077446329</c:v>
                </c:pt>
                <c:pt idx="117">
                  <c:v>10.618263859214647</c:v>
                </c:pt>
                <c:pt idx="118">
                  <c:v>10.657076640982968</c:v>
                </c:pt>
                <c:pt idx="119">
                  <c:v>10.69588942275129</c:v>
                </c:pt>
                <c:pt idx="120">
                  <c:v>10.734702204519603</c:v>
                </c:pt>
                <c:pt idx="121">
                  <c:v>10.773514986287925</c:v>
                </c:pt>
                <c:pt idx="122">
                  <c:v>10.812327768056246</c:v>
                </c:pt>
                <c:pt idx="123">
                  <c:v>10.851140549824567</c:v>
                </c:pt>
                <c:pt idx="124">
                  <c:v>10.889953331592885</c:v>
                </c:pt>
                <c:pt idx="125">
                  <c:v>10.928766113361203</c:v>
                </c:pt>
                <c:pt idx="126">
                  <c:v>10.967578895129527</c:v>
                </c:pt>
                <c:pt idx="127">
                  <c:v>11.006391676897845</c:v>
                </c:pt>
                <c:pt idx="128">
                  <c:v>11.045204458666163</c:v>
                </c:pt>
                <c:pt idx="129">
                  <c:v>11.08401724043448</c:v>
                </c:pt>
                <c:pt idx="130">
                  <c:v>11.122830022202802</c:v>
                </c:pt>
                <c:pt idx="131">
                  <c:v>11.161642803971127</c:v>
                </c:pt>
                <c:pt idx="132">
                  <c:v>11.20045558573944</c:v>
                </c:pt>
                <c:pt idx="133">
                  <c:v>11.239268367507762</c:v>
                </c:pt>
                <c:pt idx="134">
                  <c:v>11.278081149276083</c:v>
                </c:pt>
                <c:pt idx="135">
                  <c:v>11.316893931044401</c:v>
                </c:pt>
              </c:numCache>
            </c:numRef>
          </c:val>
          <c:smooth val="1"/>
        </c:ser>
        <c:marker val="1"/>
        <c:axId val="12820272"/>
        <c:axId val="48273585"/>
      </c:lineChart>
      <c:catAx>
        <c:axId val="12820272"/>
        <c:scaling>
          <c:orientation val="minMax"/>
        </c:scaling>
        <c:axPos val="b"/>
        <c:title>
          <c:tx>
            <c:rich>
              <a:bodyPr vert="horz" rot="0" anchor="ctr"/>
              <a:lstStyle/>
              <a:p>
                <a:pPr algn="ctr">
                  <a:defRPr/>
                </a:pPr>
                <a:r>
                  <a:rPr lang="en-US" cap="none" sz="975" b="1" i="0" u="none" baseline="0"/>
                  <a:t>secs</a:t>
                </a:r>
              </a:p>
            </c:rich>
          </c:tx>
          <c:layout/>
          <c:overlay val="0"/>
          <c:spPr>
            <a:noFill/>
            <a:ln>
              <a:noFill/>
            </a:ln>
          </c:spPr>
        </c:title>
        <c:delete val="0"/>
        <c:numFmt formatCode="General" sourceLinked="1"/>
        <c:majorTickMark val="out"/>
        <c:minorTickMark val="none"/>
        <c:tickLblPos val="nextTo"/>
        <c:crossAx val="48273585"/>
        <c:crosses val="autoZero"/>
        <c:auto val="1"/>
        <c:lblOffset val="100"/>
        <c:noMultiLvlLbl val="0"/>
      </c:catAx>
      <c:valAx>
        <c:axId val="48273585"/>
        <c:scaling>
          <c:orientation val="minMax"/>
        </c:scaling>
        <c:axPos val="l"/>
        <c:title>
          <c:tx>
            <c:rich>
              <a:bodyPr vert="horz" rot="-5400000" anchor="ctr"/>
              <a:lstStyle/>
              <a:p>
                <a:pPr algn="ctr">
                  <a:defRPr/>
                </a:pPr>
                <a:r>
                  <a:rPr lang="en-US" cap="none" sz="975" b="1" i="0" u="none" baseline="0"/>
                  <a:t>Pressure (barg)</a:t>
                </a:r>
              </a:p>
            </c:rich>
          </c:tx>
          <c:layout/>
          <c:overlay val="0"/>
          <c:spPr>
            <a:noFill/>
            <a:ln>
              <a:noFill/>
            </a:ln>
          </c:spPr>
        </c:title>
        <c:majorGridlines/>
        <c:delete val="0"/>
        <c:numFmt formatCode="General" sourceLinked="1"/>
        <c:majorTickMark val="out"/>
        <c:minorTickMark val="none"/>
        <c:tickLblPos val="nextTo"/>
        <c:crossAx val="12820272"/>
        <c:crossesAt val="1"/>
        <c:crossBetween val="between"/>
        <c:dispUnits/>
      </c:valAx>
      <c:spPr>
        <a:solidFill>
          <a:srgbClr val="C0C0C0"/>
        </a:solidFill>
        <a:ln w="12700">
          <a:solidFill>
            <a:srgbClr val="808080"/>
          </a:solidFill>
        </a:ln>
      </c:spPr>
    </c:plotArea>
    <c:legend>
      <c:legendPos val="r"/>
      <c:layout>
        <c:manualLayout>
          <c:xMode val="edge"/>
          <c:yMode val="edge"/>
          <c:x val="0.4185"/>
          <c:y val="0.01275"/>
          <c:w val="0.24625"/>
          <c:h val="0.158"/>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CO2 gas volume</c:v>
          </c:tx>
          <c:extLst>
            <c:ext xmlns:c14="http://schemas.microsoft.com/office/drawing/2007/8/2/chart" uri="{6F2FDCE9-48DA-4B69-8628-5D25D57E5C99}">
              <c14:invertSolidFillFmt>
                <c14:spPr>
                  <a:solidFill>
                    <a:srgbClr val="000000"/>
                  </a:solidFill>
                </c14:spPr>
              </c14:invertSolidFillFmt>
            </c:ext>
          </c:extLst>
          <c:val>
            <c:numRef>
              <c:f>'fires per bottle'!#REF!</c:f>
              <c:numCache>
                <c:ptCount val="1"/>
                <c:pt idx="0">
                  <c:v>1</c:v>
                </c:pt>
              </c:numCache>
            </c:numRef>
          </c:val>
          <c:smooth val="0"/>
        </c:ser>
        <c:marker val="1"/>
        <c:axId val="31809082"/>
        <c:axId val="17846283"/>
      </c:lineChart>
      <c:catAx>
        <c:axId val="31809082"/>
        <c:scaling>
          <c:orientation val="minMax"/>
        </c:scaling>
        <c:axPos val="b"/>
        <c:title>
          <c:tx>
            <c:rich>
              <a:bodyPr vert="horz" rot="0" anchor="ctr"/>
              <a:lstStyle/>
              <a:p>
                <a:pPr algn="ctr">
                  <a:defRPr/>
                </a:pPr>
                <a:r>
                  <a:rPr lang="en-US" cap="none" sz="250" b="1" i="0" u="none" baseline="0"/>
                  <a:t>Number of flips</a:t>
                </a:r>
              </a:p>
            </c:rich>
          </c:tx>
          <c:layout/>
          <c:overlay val="0"/>
          <c:spPr>
            <a:noFill/>
            <a:ln>
              <a:noFill/>
            </a:ln>
          </c:spPr>
        </c:title>
        <c:delete val="0"/>
        <c:numFmt formatCode="General" sourceLinked="1"/>
        <c:majorTickMark val="out"/>
        <c:minorTickMark val="none"/>
        <c:tickLblPos val="nextTo"/>
        <c:crossAx val="17846283"/>
        <c:crosses val="autoZero"/>
        <c:auto val="1"/>
        <c:lblOffset val="100"/>
        <c:noMultiLvlLbl val="0"/>
      </c:catAx>
      <c:valAx>
        <c:axId val="17846283"/>
        <c:scaling>
          <c:orientation val="minMax"/>
        </c:scaling>
        <c:axPos val="l"/>
        <c:title>
          <c:tx>
            <c:rich>
              <a:bodyPr vert="horz" rot="-5400000" anchor="ctr"/>
              <a:lstStyle/>
              <a:p>
                <a:pPr algn="ctr">
                  <a:defRPr/>
                </a:pPr>
                <a:r>
                  <a:rPr lang="en-US" cap="none" sz="250" b="1" i="0" u="none" baseline="0"/>
                  <a:t>litres of CO2 remaining </a:t>
                </a:r>
              </a:p>
            </c:rich>
          </c:tx>
          <c:layout/>
          <c:overlay val="0"/>
          <c:spPr>
            <a:noFill/>
            <a:ln>
              <a:noFill/>
            </a:ln>
          </c:spPr>
        </c:title>
        <c:majorGridlines/>
        <c:delete val="0"/>
        <c:numFmt formatCode="General" sourceLinked="1"/>
        <c:majorTickMark val="out"/>
        <c:minorTickMark val="none"/>
        <c:tickLblPos val="nextTo"/>
        <c:crossAx val="31809082"/>
        <c:crossesAt val="1"/>
        <c:crossBetween val="between"/>
        <c:dispUnits/>
      </c:valAx>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2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Flipper height vs Ram extension</a:t>
            </a:r>
          </a:p>
        </c:rich>
      </c:tx>
      <c:layout/>
      <c:spPr>
        <a:noFill/>
        <a:ln>
          <a:noFill/>
        </a:ln>
      </c:spPr>
    </c:title>
    <c:plotArea>
      <c:layout/>
      <c:scatterChart>
        <c:scatterStyle val="smoothMarker"/>
        <c:varyColors val="0"/>
        <c:ser>
          <c:idx val="0"/>
          <c:order val="0"/>
          <c:tx>
            <c:v>Flipper tip position (type B)</c:v>
          </c:tx>
          <c:extLst>
            <c:ext xmlns:c14="http://schemas.microsoft.com/office/drawing/2007/8/2/chart" uri="{6F2FDCE9-48DA-4B69-8628-5D25D57E5C99}">
              <c14:invertSolidFillFmt>
                <c14:spPr>
                  <a:solidFill>
                    <a:srgbClr val="000000"/>
                  </a:solidFill>
                </c14:spPr>
              </c14:invertSolidFillFmt>
            </c:ext>
          </c:extLst>
          <c:marker>
            <c:symbol val="diamond"/>
          </c:marker>
          <c:xVal>
            <c:numRef>
              <c:f>'Flipper geometry'!$B$14:$L$14</c:f>
              <c:numCache>
                <c:ptCount val="11"/>
                <c:pt idx="0">
                  <c:v>0.52</c:v>
                </c:pt>
                <c:pt idx="1">
                  <c:v>0.54</c:v>
                </c:pt>
                <c:pt idx="2">
                  <c:v>0.56</c:v>
                </c:pt>
                <c:pt idx="3">
                  <c:v>0.5800000000000001</c:v>
                </c:pt>
                <c:pt idx="4">
                  <c:v>0.6000000000000001</c:v>
                </c:pt>
                <c:pt idx="5">
                  <c:v>0.6200000000000001</c:v>
                </c:pt>
                <c:pt idx="6">
                  <c:v>0.6400000000000001</c:v>
                </c:pt>
                <c:pt idx="7">
                  <c:v>0.6600000000000001</c:v>
                </c:pt>
                <c:pt idx="8">
                  <c:v>0.6800000000000002</c:v>
                </c:pt>
                <c:pt idx="9">
                  <c:v>0.7000000000000002</c:v>
                </c:pt>
                <c:pt idx="10">
                  <c:v>0.7200000000000002</c:v>
                </c:pt>
              </c:numCache>
            </c:numRef>
          </c:xVal>
          <c:yVal>
            <c:numRef>
              <c:f>'Flipper geometry'!$B$15:$L$15</c:f>
              <c:numCache>
                <c:ptCount val="11"/>
                <c:pt idx="0">
                  <c:v>0</c:v>
                </c:pt>
                <c:pt idx="1">
                  <c:v>0.03418415042397149</c:v>
                </c:pt>
                <c:pt idx="2">
                  <c:v>0.06929303225738304</c:v>
                </c:pt>
                <c:pt idx="3">
                  <c:v>0.10531634059926509</c:v>
                </c:pt>
                <c:pt idx="4">
                  <c:v>0.1422428646234166</c:v>
                </c:pt>
                <c:pt idx="5">
                  <c:v>0.18006042934673028</c:v>
                </c:pt>
                <c:pt idx="6">
                  <c:v>0.2187558152695913</c:v>
                </c:pt>
                <c:pt idx="7">
                  <c:v>0.25831465396713893</c:v>
                </c:pt>
                <c:pt idx="8">
                  <c:v>0.29872129636495415</c:v>
                </c:pt>
                <c:pt idx="9">
                  <c:v>0.3399586488735391</c:v>
                </c:pt>
                <c:pt idx="10">
                  <c:v>0.38200797062000225</c:v>
                </c:pt>
              </c:numCache>
            </c:numRef>
          </c:yVal>
          <c:smooth val="1"/>
        </c:ser>
        <c:axId val="26398820"/>
        <c:axId val="36262789"/>
      </c:scatterChart>
      <c:valAx>
        <c:axId val="26398820"/>
        <c:scaling>
          <c:orientation val="minMax"/>
        </c:scaling>
        <c:axPos val="b"/>
        <c:title>
          <c:tx>
            <c:rich>
              <a:bodyPr vert="horz" rot="0" anchor="ctr"/>
              <a:lstStyle/>
              <a:p>
                <a:pPr algn="ctr">
                  <a:defRPr/>
                </a:pPr>
                <a:r>
                  <a:rPr lang="en-US" cap="none" sz="525" b="1" i="0" u="none" baseline="0"/>
                  <a:t>ram extension</a:t>
                </a:r>
              </a:p>
            </c:rich>
          </c:tx>
          <c:layout/>
          <c:overlay val="0"/>
          <c:spPr>
            <a:noFill/>
            <a:ln>
              <a:noFill/>
            </a:ln>
          </c:spPr>
        </c:title>
        <c:delete val="0"/>
        <c:numFmt formatCode="0.00" sourceLinked="0"/>
        <c:majorTickMark val="out"/>
        <c:minorTickMark val="none"/>
        <c:tickLblPos val="nextTo"/>
        <c:crossAx val="36262789"/>
        <c:crosses val="max"/>
        <c:crossBetween val="midCat"/>
        <c:dispUnits/>
      </c:valAx>
      <c:valAx>
        <c:axId val="36262789"/>
        <c:scaling>
          <c:orientation val="minMax"/>
        </c:scaling>
        <c:axPos val="l"/>
        <c:title>
          <c:tx>
            <c:rich>
              <a:bodyPr vert="horz" rot="-5400000" anchor="ctr"/>
              <a:lstStyle/>
              <a:p>
                <a:pPr algn="ctr">
                  <a:defRPr/>
                </a:pPr>
                <a:r>
                  <a:rPr lang="en-US" cap="none" sz="525" b="1" i="0" u="none" baseline="0"/>
                  <a:t>Flipper height</a:t>
                </a:r>
              </a:p>
            </c:rich>
          </c:tx>
          <c:layout/>
          <c:overlay val="0"/>
          <c:spPr>
            <a:noFill/>
            <a:ln>
              <a:noFill/>
            </a:ln>
          </c:spPr>
        </c:title>
        <c:majorGridlines/>
        <c:delete val="0"/>
        <c:numFmt formatCode="0.00" sourceLinked="0"/>
        <c:majorTickMark val="out"/>
        <c:minorTickMark val="none"/>
        <c:tickLblPos val="nextTo"/>
        <c:crossAx val="26398820"/>
        <c:crosses val="max"/>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Flipper tip path</a:t>
            </a:r>
          </a:p>
        </c:rich>
      </c:tx>
      <c:layout/>
      <c:spPr>
        <a:noFill/>
        <a:ln>
          <a:noFill/>
        </a:ln>
      </c:spPr>
    </c:title>
    <c:plotArea>
      <c:layout>
        <c:manualLayout>
          <c:xMode val="edge"/>
          <c:yMode val="edge"/>
          <c:x val="0.10175"/>
          <c:y val="0.17525"/>
          <c:w val="0.86675"/>
          <c:h val="0.79525"/>
        </c:manualLayout>
      </c:layout>
      <c:scatterChart>
        <c:scatterStyle val="smoothMarker"/>
        <c:varyColors val="0"/>
        <c:ser>
          <c:idx val="0"/>
          <c:order val="0"/>
          <c:tx>
            <c:v>Flipper tip position (type A)</c:v>
          </c:tx>
          <c:extLst>
            <c:ext xmlns:c14="http://schemas.microsoft.com/office/drawing/2007/8/2/chart" uri="{6F2FDCE9-48DA-4B69-8628-5D25D57E5C99}">
              <c14:invertSolidFillFmt>
                <c14:spPr>
                  <a:solidFill>
                    <a:srgbClr val="000000"/>
                  </a:solidFill>
                </c14:spPr>
              </c14:invertSolidFillFmt>
            </c:ext>
          </c:extLst>
          <c:marker>
            <c:symbol val="diamond"/>
          </c:marker>
          <c:xVal>
            <c:numRef>
              <c:f>'Flipper geometry'!$B$16:$L$16</c:f>
              <c:numCache>
                <c:ptCount val="11"/>
                <c:pt idx="0">
                  <c:v>0.8147105391032639</c:v>
                </c:pt>
                <c:pt idx="1">
                  <c:v>0.8298977420532787</c:v>
                </c:pt>
                <c:pt idx="2">
                  <c:v>0.8437713704561925</c:v>
                </c:pt>
                <c:pt idx="3">
                  <c:v>0.8562781930130936</c:v>
                </c:pt>
                <c:pt idx="4">
                  <c:v>0.8673602987511049</c:v>
                </c:pt>
                <c:pt idx="5">
                  <c:v>0.8769547962201317</c:v>
                </c:pt>
                <c:pt idx="6">
                  <c:v>0.8849933983849536</c:v>
                </c:pt>
                <c:pt idx="7">
                  <c:v>0.891401883288374</c:v>
                </c:pt>
                <c:pt idx="8">
                  <c:v>0.8960994136122526</c:v>
                </c:pt>
                <c:pt idx="9">
                  <c:v>0.8989976902089541</c:v>
                </c:pt>
                <c:pt idx="10">
                  <c:v>0.899999904675401</c:v>
                </c:pt>
              </c:numCache>
            </c:numRef>
          </c:xVal>
          <c:yVal>
            <c:numRef>
              <c:f>'Flipper geometry'!$B$15:$L$15</c:f>
              <c:numCache>
                <c:ptCount val="11"/>
                <c:pt idx="0">
                  <c:v>0</c:v>
                </c:pt>
                <c:pt idx="1">
                  <c:v>0.03418415042397149</c:v>
                </c:pt>
                <c:pt idx="2">
                  <c:v>0.06929303225738304</c:v>
                </c:pt>
                <c:pt idx="3">
                  <c:v>0.10531634059926509</c:v>
                </c:pt>
                <c:pt idx="4">
                  <c:v>0.1422428646234166</c:v>
                </c:pt>
                <c:pt idx="5">
                  <c:v>0.18006042934673028</c:v>
                </c:pt>
                <c:pt idx="6">
                  <c:v>0.2187558152695913</c:v>
                </c:pt>
                <c:pt idx="7">
                  <c:v>0.25831465396713893</c:v>
                </c:pt>
                <c:pt idx="8">
                  <c:v>0.29872129636495415</c:v>
                </c:pt>
                <c:pt idx="9">
                  <c:v>0.3399586488735391</c:v>
                </c:pt>
                <c:pt idx="10">
                  <c:v>0.38200797062000225</c:v>
                </c:pt>
              </c:numCache>
            </c:numRef>
          </c:yVal>
          <c:smooth val="1"/>
        </c:ser>
        <c:axId val="57929646"/>
        <c:axId val="51604767"/>
      </c:scatterChart>
      <c:valAx>
        <c:axId val="57929646"/>
        <c:scaling>
          <c:orientation val="minMax"/>
          <c:max val="1.1"/>
          <c:min val="0"/>
        </c:scaling>
        <c:axPos val="b"/>
        <c:title>
          <c:tx>
            <c:rich>
              <a:bodyPr vert="horz" rot="0" anchor="ctr"/>
              <a:lstStyle/>
              <a:p>
                <a:pPr algn="ctr">
                  <a:defRPr/>
                </a:pPr>
                <a:r>
                  <a:rPr lang="en-US" cap="none" sz="825" b="1" i="0" u="none" baseline="0"/>
                  <a:t>Horiz. position</a:t>
                </a:r>
              </a:p>
            </c:rich>
          </c:tx>
          <c:layout/>
          <c:overlay val="0"/>
          <c:spPr>
            <a:noFill/>
            <a:ln>
              <a:noFill/>
            </a:ln>
          </c:spPr>
        </c:title>
        <c:delete val="0"/>
        <c:numFmt formatCode="0.00" sourceLinked="0"/>
        <c:majorTickMark val="out"/>
        <c:minorTickMark val="none"/>
        <c:tickLblPos val="nextTo"/>
        <c:crossAx val="51604767"/>
        <c:crosses val="max"/>
        <c:crossBetween val="midCat"/>
        <c:dispUnits/>
      </c:valAx>
      <c:valAx>
        <c:axId val="51604767"/>
        <c:scaling>
          <c:orientation val="minMax"/>
          <c:max val="0.75"/>
          <c:min val="0"/>
        </c:scaling>
        <c:axPos val="l"/>
        <c:title>
          <c:tx>
            <c:rich>
              <a:bodyPr vert="horz" rot="-5400000" anchor="ctr"/>
              <a:lstStyle/>
              <a:p>
                <a:pPr algn="ctr">
                  <a:defRPr/>
                </a:pPr>
                <a:r>
                  <a:rPr lang="en-US" cap="none" sz="825" b="1" i="0" u="none" baseline="0"/>
                  <a:t>Vert. position</a:t>
                </a:r>
              </a:p>
            </c:rich>
          </c:tx>
          <c:layout/>
          <c:overlay val="0"/>
          <c:spPr>
            <a:noFill/>
            <a:ln>
              <a:noFill/>
            </a:ln>
          </c:spPr>
        </c:title>
        <c:majorGridlines/>
        <c:delete val="0"/>
        <c:numFmt formatCode="0.00" sourceLinked="0"/>
        <c:majorTickMark val="out"/>
        <c:minorTickMark val="none"/>
        <c:tickLblPos val="nextTo"/>
        <c:crossAx val="57929646"/>
        <c:crosses val="max"/>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Force at flipper tip vs ram length</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'Flipper geometry'!$B$14:$L$14</c:f>
              <c:numCache>
                <c:ptCount val="11"/>
                <c:pt idx="0">
                  <c:v>0.52</c:v>
                </c:pt>
                <c:pt idx="1">
                  <c:v>0.54</c:v>
                </c:pt>
                <c:pt idx="2">
                  <c:v>0.56</c:v>
                </c:pt>
                <c:pt idx="3">
                  <c:v>0.5800000000000001</c:v>
                </c:pt>
                <c:pt idx="4">
                  <c:v>0.6000000000000001</c:v>
                </c:pt>
                <c:pt idx="5">
                  <c:v>0.6200000000000001</c:v>
                </c:pt>
                <c:pt idx="6">
                  <c:v>0.6400000000000001</c:v>
                </c:pt>
                <c:pt idx="7">
                  <c:v>0.6600000000000001</c:v>
                </c:pt>
                <c:pt idx="8">
                  <c:v>0.6800000000000002</c:v>
                </c:pt>
                <c:pt idx="9">
                  <c:v>0.7000000000000002</c:v>
                </c:pt>
                <c:pt idx="10">
                  <c:v>0.7200000000000002</c:v>
                </c:pt>
              </c:numCache>
            </c:numRef>
          </c:xVal>
          <c:yVal>
            <c:numRef>
              <c:f>'Flipper geometry'!$B$18:$L$18</c:f>
              <c:numCache>
                <c:ptCount val="11"/>
                <c:pt idx="0">
                  <c:v>1247.9588612853854</c:v>
                </c:pt>
                <c:pt idx="1">
                  <c:v>1260.177468766322</c:v>
                </c:pt>
                <c:pt idx="2">
                  <c:v>1268.9784191893057</c:v>
                </c:pt>
                <c:pt idx="3">
                  <c:v>1274.3097734271257</c:v>
                </c:pt>
                <c:pt idx="4">
                  <c:v>1276.1166996786842</c:v>
                </c:pt>
                <c:pt idx="5">
                  <c:v>1274.3423957109158</c:v>
                </c:pt>
                <c:pt idx="6">
                  <c:v>1268.9288744499984</c:v>
                </c:pt>
                <c:pt idx="7">
                  <c:v>1259.8176529998984</c:v>
                </c:pt>
                <c:pt idx="8">
                  <c:v>1246.9503773043493</c:v>
                </c:pt>
                <c:pt idx="9">
                  <c:v>1230.2694096387668</c:v>
                </c:pt>
                <c:pt idx="10">
                  <c:v>1209.7184033324681</c:v>
                </c:pt>
              </c:numCache>
            </c:numRef>
          </c:yVal>
          <c:smooth val="1"/>
        </c:ser>
        <c:axId val="61789720"/>
        <c:axId val="19236569"/>
      </c:scatterChart>
      <c:valAx>
        <c:axId val="61789720"/>
        <c:scaling>
          <c:orientation val="minMax"/>
          <c:max val="0.8"/>
          <c:min val="0"/>
        </c:scaling>
        <c:axPos val="b"/>
        <c:title>
          <c:tx>
            <c:rich>
              <a:bodyPr vert="horz" rot="0" anchor="ctr"/>
              <a:lstStyle/>
              <a:p>
                <a:pPr algn="ctr">
                  <a:defRPr/>
                </a:pPr>
                <a:r>
                  <a:rPr lang="en-US" cap="none" sz="800" b="1" i="0" u="none" baseline="0"/>
                  <a:t>ram length</a:t>
                </a:r>
              </a:p>
            </c:rich>
          </c:tx>
          <c:layout/>
          <c:overlay val="0"/>
          <c:spPr>
            <a:noFill/>
            <a:ln>
              <a:noFill/>
            </a:ln>
          </c:spPr>
        </c:title>
        <c:delete val="0"/>
        <c:numFmt formatCode="General" sourceLinked="1"/>
        <c:majorTickMark val="out"/>
        <c:minorTickMark val="none"/>
        <c:tickLblPos val="nextTo"/>
        <c:crossAx val="19236569"/>
        <c:crossesAt val="0"/>
        <c:crossBetween val="midCat"/>
        <c:dispUnits/>
        <c:majorUnit val="0.2"/>
        <c:minorUnit val="0.04"/>
      </c:valAx>
      <c:valAx>
        <c:axId val="19236569"/>
        <c:scaling>
          <c:orientation val="minMax"/>
          <c:min val="0"/>
        </c:scaling>
        <c:axPos val="l"/>
        <c:title>
          <c:tx>
            <c:rich>
              <a:bodyPr vert="horz" rot="-5400000" anchor="ctr"/>
              <a:lstStyle/>
              <a:p>
                <a:pPr algn="ctr">
                  <a:defRPr/>
                </a:pPr>
                <a:r>
                  <a:rPr lang="en-US" cap="none" sz="800" b="1" i="0" u="none" baseline="0"/>
                  <a:t>kg force</a:t>
                </a:r>
              </a:p>
            </c:rich>
          </c:tx>
          <c:layout/>
          <c:overlay val="0"/>
          <c:spPr>
            <a:noFill/>
            <a:ln>
              <a:noFill/>
            </a:ln>
          </c:spPr>
        </c:title>
        <c:majorGridlines/>
        <c:delete val="0"/>
        <c:numFmt formatCode="0" sourceLinked="0"/>
        <c:majorTickMark val="out"/>
        <c:minorTickMark val="none"/>
        <c:tickLblPos val="nextTo"/>
        <c:crossAx val="61789720"/>
        <c:crossesAt val="0"/>
        <c:crossBetween val="midCat"/>
        <c:dispUnits/>
        <c:majorUnit val="100"/>
        <c:minorUnit val="100"/>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Flipper animation</a:t>
            </a:r>
          </a:p>
        </c:rich>
      </c:tx>
      <c:layout/>
      <c:spPr>
        <a:noFill/>
        <a:ln>
          <a:noFill/>
        </a:ln>
      </c:spPr>
    </c:title>
    <c:plotArea>
      <c:layout>
        <c:manualLayout>
          <c:xMode val="edge"/>
          <c:yMode val="edge"/>
          <c:x val="0.023"/>
          <c:y val="0.137"/>
          <c:w val="0.67675"/>
          <c:h val="0.843"/>
        </c:manualLayout>
      </c:layout>
      <c:scatterChart>
        <c:scatterStyle val="lineMarker"/>
        <c:varyColors val="0"/>
        <c:ser>
          <c:idx val="0"/>
          <c:order val="0"/>
          <c:tx>
            <c:v>Ram</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xVal>
            <c:numRef>
              <c:f>'Flipper geometry'!$E$41:$F$41</c:f>
              <c:numCache>
                <c:ptCount val="2"/>
                <c:pt idx="0">
                  <c:v>0.6973934343445168</c:v>
                </c:pt>
                <c:pt idx="1">
                  <c:v>0.7499999999999999</c:v>
                </c:pt>
              </c:numCache>
            </c:numRef>
          </c:xVal>
          <c:yVal>
            <c:numRef>
              <c:f>'Flipper geometry'!$E$40:$F$40</c:f>
              <c:numCache>
                <c:ptCount val="2"/>
                <c:pt idx="0">
                  <c:v>0.543842478843942</c:v>
                </c:pt>
                <c:pt idx="1">
                  <c:v>-0.651</c:v>
                </c:pt>
              </c:numCache>
            </c:numRef>
          </c:yVal>
          <c:smooth val="0"/>
        </c:ser>
        <c:ser>
          <c:idx val="1"/>
          <c:order val="1"/>
          <c:tx>
            <c:v>Flipper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FF"/>
              </a:solidFill>
              <a:ln>
                <a:solidFill>
                  <a:srgbClr val="FF00FF"/>
                </a:solidFill>
              </a:ln>
            </c:spPr>
          </c:marker>
          <c:xVal>
            <c:numRef>
              <c:f>'Flipper geometry'!$G$41:$I$41</c:f>
              <c:numCache>
                <c:ptCount val="3"/>
                <c:pt idx="0">
                  <c:v>1.4738342399375068</c:v>
                </c:pt>
                <c:pt idx="1">
                  <c:v>0.6973934343445168</c:v>
                </c:pt>
                <c:pt idx="2">
                  <c:v>-0.4</c:v>
                </c:pt>
              </c:numCache>
            </c:numRef>
          </c:xVal>
          <c:yVal>
            <c:numRef>
              <c:f>'Flipper geometry'!$G$40:$I$40</c:f>
              <c:numCache>
                <c:ptCount val="3"/>
                <c:pt idx="0">
                  <c:v>-0.6795710552524032</c:v>
                </c:pt>
                <c:pt idx="1">
                  <c:v>0.543842478843942</c:v>
                </c:pt>
                <c:pt idx="2">
                  <c:v>0.2</c:v>
                </c:pt>
              </c:numCache>
            </c:numRef>
          </c:yVal>
          <c:smooth val="0"/>
        </c:ser>
        <c:ser>
          <c:idx val="2"/>
          <c:order val="2"/>
          <c:tx>
            <c:v>Tip trace</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xVal>
            <c:numRef>
              <c:f>'Flipper geometry'!$B$48:$L$48</c:f>
              <c:numCache>
                <c:ptCount val="11"/>
                <c:pt idx="0">
                  <c:v>1.4738342399375068</c:v>
                </c:pt>
                <c:pt idx="1">
                  <c:v>1.508764806722541</c:v>
                </c:pt>
                <c:pt idx="2">
                  <c:v>1.5406741520492426</c:v>
                </c:pt>
                <c:pt idx="3">
                  <c:v>1.5694398439301152</c:v>
                </c:pt>
                <c:pt idx="4">
                  <c:v>1.594928687127541</c:v>
                </c:pt>
                <c:pt idx="5">
                  <c:v>1.6169960313063028</c:v>
                </c:pt>
                <c:pt idx="6">
                  <c:v>1.6354848162853934</c:v>
                </c:pt>
                <c:pt idx="7">
                  <c:v>1.65022433156326</c:v>
                </c:pt>
                <c:pt idx="8">
                  <c:v>1.6610286513081811</c:v>
                </c:pt>
                <c:pt idx="9">
                  <c:v>1.6676946874805947</c:v>
                </c:pt>
                <c:pt idx="10">
                  <c:v>1.6699997807534221</c:v>
                </c:pt>
              </c:numCache>
            </c:numRef>
          </c:xVal>
          <c:yVal>
            <c:numRef>
              <c:f>'Flipper geometry'!$B$47:$L$47</c:f>
              <c:numCache>
                <c:ptCount val="11"/>
                <c:pt idx="0">
                  <c:v>-0.6795710552524032</c:v>
                </c:pt>
                <c:pt idx="1">
                  <c:v>-0.6009475092772689</c:v>
                </c:pt>
                <c:pt idx="2">
                  <c:v>-0.5201970810604224</c:v>
                </c:pt>
                <c:pt idx="3">
                  <c:v>-0.43734347187409356</c:v>
                </c:pt>
                <c:pt idx="4">
                  <c:v>-0.35241246661854514</c:v>
                </c:pt>
                <c:pt idx="5">
                  <c:v>-0.2654320677549237</c:v>
                </c:pt>
                <c:pt idx="6">
                  <c:v>-0.1764326801323433</c:v>
                </c:pt>
                <c:pt idx="7">
                  <c:v>-0.0854473511279838</c:v>
                </c:pt>
                <c:pt idx="8">
                  <c:v>0.007487926386991167</c:v>
                </c:pt>
                <c:pt idx="9">
                  <c:v>0.1023338371567366</c:v>
                </c:pt>
                <c:pt idx="10">
                  <c:v>0.1990472771736018</c:v>
                </c:pt>
              </c:numCache>
            </c:numRef>
          </c:yVal>
          <c:smooth val="0"/>
        </c:ser>
        <c:axId val="38911394"/>
        <c:axId val="14658227"/>
      </c:scatterChart>
      <c:valAx>
        <c:axId val="38911394"/>
        <c:scaling>
          <c:orientation val="minMax"/>
          <c:max val="1.8"/>
          <c:min val="-0.5"/>
        </c:scaling>
        <c:axPos val="b"/>
        <c:delete val="1"/>
        <c:majorTickMark val="out"/>
        <c:minorTickMark val="none"/>
        <c:tickLblPos val="nextTo"/>
        <c:crossAx val="14658227"/>
        <c:crosses val="autoZero"/>
        <c:crossBetween val="midCat"/>
        <c:dispUnits/>
      </c:valAx>
      <c:valAx>
        <c:axId val="14658227"/>
        <c:scaling>
          <c:orientation val="minMax"/>
          <c:max val="1"/>
          <c:min val="-1"/>
        </c:scaling>
        <c:axPos val="l"/>
        <c:majorGridlines/>
        <c:delete val="1"/>
        <c:majorTickMark val="out"/>
        <c:minorTickMark val="none"/>
        <c:tickLblPos val="nextTo"/>
        <c:crossAx val="38911394"/>
        <c:crosses val="autoZero"/>
        <c:crossBetween val="midCat"/>
        <c:dispUnits/>
      </c:valAx>
      <c:spPr>
        <a:solidFill>
          <a:srgbClr val="C0C0C0"/>
        </a:solidFill>
        <a:ln w="12700">
          <a:solidFill>
            <a:srgbClr val="808080"/>
          </a:solidFill>
        </a:ln>
      </c:spPr>
    </c:plotArea>
    <c:legend>
      <c:legendPos val="r"/>
      <c:layout>
        <c:manualLayout>
          <c:xMode val="edge"/>
          <c:yMode val="edge"/>
          <c:x val="0.736"/>
          <c:y val="0.0395"/>
          <c:w val="0.25425"/>
          <c:h val="0.257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20325"/>
          <c:w val="0.8765"/>
          <c:h val="0.72725"/>
        </c:manualLayout>
      </c:layout>
      <c:lineChart>
        <c:grouping val="standard"/>
        <c:varyColors val="0"/>
        <c:ser>
          <c:idx val="0"/>
          <c:order val="0"/>
          <c:tx>
            <c:v>Flipper height</c:v>
          </c:tx>
          <c:extLst>
            <c:ext xmlns:c14="http://schemas.microsoft.com/office/drawing/2007/8/2/chart" uri="{6F2FDCE9-48DA-4B69-8628-5D25D57E5C99}">
              <c14:invertSolidFillFmt>
                <c14:spPr>
                  <a:solidFill>
                    <a:srgbClr val="000000"/>
                  </a:solidFill>
                </c14:spPr>
              </c14:invertSolidFillFmt>
            </c:ext>
          </c:extLst>
          <c:cat>
            <c:numRef>
              <c:f>'throwing calculations'!$B$1:$EG$1</c:f>
              <c:numCache/>
            </c:numRef>
          </c:cat>
          <c:val>
            <c:numRef>
              <c:f>'throwing calculations'!$B$10:$EG$10</c:f>
              <c:numCache>
                <c:ptCount val="136"/>
                <c:pt idx="0">
                  <c:v>0</c:v>
                </c:pt>
                <c:pt idx="1">
                  <c:v>0.0032105709392348356</c:v>
                </c:pt>
                <c:pt idx="2">
                  <c:v>0.007894315403894417</c:v>
                </c:pt>
                <c:pt idx="3">
                  <c:v>0.013671351274613512</c:v>
                </c:pt>
                <c:pt idx="4">
                  <c:v>0.020369694559613384</c:v>
                </c:pt>
                <c:pt idx="5">
                  <c:v>0.02786094189339854</c:v>
                </c:pt>
                <c:pt idx="6">
                  <c:v>0.036046764965916966</c:v>
                </c:pt>
                <c:pt idx="7">
                  <c:v>0.04484984494679215</c:v>
                </c:pt>
                <c:pt idx="8">
                  <c:v>0.054207917817446785</c:v>
                </c:pt>
                <c:pt idx="9">
                  <c:v>0.06406980111077466</c:v>
                </c:pt>
                <c:pt idx="10">
                  <c:v>0.07439267223789583</c:v>
                </c:pt>
                <c:pt idx="11">
                  <c:v>0.08514015223481448</c:v>
                </c:pt>
                <c:pt idx="12">
                  <c:v>0.09628092139460574</c:v>
                </c:pt>
                <c:pt idx="13">
                  <c:v>0.1077876956267877</c:v>
                </c:pt>
                <c:pt idx="14">
                  <c:v>0.11963645370394273</c:v>
                </c:pt>
                <c:pt idx="15">
                  <c:v>0.13180584307639648</c:v>
                </c:pt>
                <c:pt idx="16">
                  <c:v>0.1442767154658351</c:v>
                </c:pt>
                <c:pt idx="17">
                  <c:v>0.15703175857286888</c:v>
                </c:pt>
                <c:pt idx="18">
                  <c:v>0.17005520018549872</c:v>
                </c:pt>
                <c:pt idx="19">
                  <c:v>0.1833325676688044</c:v>
                </c:pt>
                <c:pt idx="20">
                  <c:v>0.19685049040970026</c:v>
                </c:pt>
                <c:pt idx="21">
                  <c:v>0.21059653600206638</c:v>
                </c:pt>
                <c:pt idx="22">
                  <c:v>0.22455907324134086</c:v>
                </c:pt>
                <c:pt idx="23">
                  <c:v>0.23872715664731445</c:v>
                </c:pt>
                <c:pt idx="24">
                  <c:v>0.2530904284427284</c:v>
                </c:pt>
                <c:pt idx="25">
                  <c:v>0.2676390348129316</c:v>
                </c:pt>
                <c:pt idx="26">
                  <c:v>0.2823635539466132</c:v>
                </c:pt>
                <c:pt idx="27">
                  <c:v>0.2972549338706092</c:v>
                </c:pt>
                <c:pt idx="28">
                  <c:v>0.3123044384858797</c:v>
                </c:pt>
                <c:pt idx="29">
                  <c:v>0.3275036005174831</c:v>
                </c:pt>
                <c:pt idx="30">
                  <c:v>0.3428441803307105</c:v>
                </c:pt>
                <c:pt idx="31">
                  <c:v>0.35831812975449445</c:v>
                </c:pt>
                <c:pt idx="32">
                  <c:v>0.3739175602035673</c:v>
                </c:pt>
                <c:pt idx="33">
                  <c:v>0.38200797062000164</c:v>
                </c:pt>
                <c:pt idx="34">
                  <c:v>0.38200797062000164</c:v>
                </c:pt>
                <c:pt idx="35">
                  <c:v>0.38200797062000164</c:v>
                </c:pt>
                <c:pt idx="36">
                  <c:v>0.38200797062000164</c:v>
                </c:pt>
                <c:pt idx="37">
                  <c:v>0.38200797062000164</c:v>
                </c:pt>
                <c:pt idx="38">
                  <c:v>0.38200797062000164</c:v>
                </c:pt>
                <c:pt idx="39">
                  <c:v>0.38200797062000164</c:v>
                </c:pt>
                <c:pt idx="40">
                  <c:v>0.38200797062000164</c:v>
                </c:pt>
                <c:pt idx="41">
                  <c:v>0.38200797062000164</c:v>
                </c:pt>
                <c:pt idx="42">
                  <c:v>0.38200797062000164</c:v>
                </c:pt>
                <c:pt idx="43">
                  <c:v>0.38200797062000164</c:v>
                </c:pt>
                <c:pt idx="44">
                  <c:v>0.38200797062000164</c:v>
                </c:pt>
                <c:pt idx="45">
                  <c:v>0.38200797062000164</c:v>
                </c:pt>
                <c:pt idx="46">
                  <c:v>0.38200797062000164</c:v>
                </c:pt>
                <c:pt idx="47">
                  <c:v>0.38200797062000164</c:v>
                </c:pt>
                <c:pt idx="48">
                  <c:v>0.38200797062000164</c:v>
                </c:pt>
                <c:pt idx="49">
                  <c:v>0.38200797062000164</c:v>
                </c:pt>
                <c:pt idx="50">
                  <c:v>0.38200797062000164</c:v>
                </c:pt>
                <c:pt idx="51">
                  <c:v>0.38200797062000164</c:v>
                </c:pt>
                <c:pt idx="52">
                  <c:v>0.38200797062000164</c:v>
                </c:pt>
                <c:pt idx="53">
                  <c:v>0.38200797062000164</c:v>
                </c:pt>
                <c:pt idx="54">
                  <c:v>0.38200797062000164</c:v>
                </c:pt>
                <c:pt idx="55">
                  <c:v>0.38200797062000164</c:v>
                </c:pt>
                <c:pt idx="56">
                  <c:v>0.38200797062000164</c:v>
                </c:pt>
                <c:pt idx="57">
                  <c:v>0.38200797062000164</c:v>
                </c:pt>
                <c:pt idx="58">
                  <c:v>0.38200797062000164</c:v>
                </c:pt>
                <c:pt idx="59">
                  <c:v>0.38200797062000164</c:v>
                </c:pt>
                <c:pt idx="60">
                  <c:v>0.38200797062000164</c:v>
                </c:pt>
                <c:pt idx="61">
                  <c:v>0.38200797062000164</c:v>
                </c:pt>
                <c:pt idx="62">
                  <c:v>0.38200797062000164</c:v>
                </c:pt>
                <c:pt idx="63">
                  <c:v>0.38200797062000164</c:v>
                </c:pt>
                <c:pt idx="64">
                  <c:v>0.38200797062000164</c:v>
                </c:pt>
                <c:pt idx="65">
                  <c:v>0.38200797062000164</c:v>
                </c:pt>
                <c:pt idx="66">
                  <c:v>0.38200797062000164</c:v>
                </c:pt>
                <c:pt idx="67">
                  <c:v>0.38200797062000164</c:v>
                </c:pt>
                <c:pt idx="68">
                  <c:v>0.38200797062000164</c:v>
                </c:pt>
                <c:pt idx="69">
                  <c:v>0.38200797062000164</c:v>
                </c:pt>
                <c:pt idx="70">
                  <c:v>0.38200797062000164</c:v>
                </c:pt>
                <c:pt idx="71">
                  <c:v>0.38200797062000164</c:v>
                </c:pt>
                <c:pt idx="72">
                  <c:v>0.38200797062000164</c:v>
                </c:pt>
                <c:pt idx="73">
                  <c:v>0.38200797062000164</c:v>
                </c:pt>
                <c:pt idx="74">
                  <c:v>0.38200797062000164</c:v>
                </c:pt>
                <c:pt idx="75">
                  <c:v>0.38200797062000164</c:v>
                </c:pt>
                <c:pt idx="76">
                  <c:v>0.38200797062000164</c:v>
                </c:pt>
                <c:pt idx="77">
                  <c:v>0.38200797062000164</c:v>
                </c:pt>
                <c:pt idx="78">
                  <c:v>0.38200797062000164</c:v>
                </c:pt>
                <c:pt idx="79">
                  <c:v>0.38200797062000164</c:v>
                </c:pt>
                <c:pt idx="80">
                  <c:v>0.38200797062000164</c:v>
                </c:pt>
                <c:pt idx="81">
                  <c:v>0.38200797062000164</c:v>
                </c:pt>
                <c:pt idx="82">
                  <c:v>0.38200797062000164</c:v>
                </c:pt>
                <c:pt idx="83">
                  <c:v>0.38200797062000164</c:v>
                </c:pt>
                <c:pt idx="84">
                  <c:v>0.38200797062000164</c:v>
                </c:pt>
                <c:pt idx="85">
                  <c:v>0.38200797062000164</c:v>
                </c:pt>
                <c:pt idx="86">
                  <c:v>0.38200797062000164</c:v>
                </c:pt>
                <c:pt idx="87">
                  <c:v>0.38200797062000164</c:v>
                </c:pt>
                <c:pt idx="88">
                  <c:v>0.38200797062000164</c:v>
                </c:pt>
                <c:pt idx="89">
                  <c:v>0.38200797062000164</c:v>
                </c:pt>
                <c:pt idx="90">
                  <c:v>0.38200797062000164</c:v>
                </c:pt>
                <c:pt idx="91">
                  <c:v>0.38200797062000164</c:v>
                </c:pt>
                <c:pt idx="92">
                  <c:v>0.38200797062000164</c:v>
                </c:pt>
                <c:pt idx="93">
                  <c:v>0.38200797062000164</c:v>
                </c:pt>
                <c:pt idx="94">
                  <c:v>0.38200797062000164</c:v>
                </c:pt>
                <c:pt idx="95">
                  <c:v>0.38200797062000164</c:v>
                </c:pt>
                <c:pt idx="96">
                  <c:v>0.38200797062000164</c:v>
                </c:pt>
                <c:pt idx="97">
                  <c:v>0.38200797062000164</c:v>
                </c:pt>
                <c:pt idx="98">
                  <c:v>0.38200797062000164</c:v>
                </c:pt>
                <c:pt idx="99">
                  <c:v>0.38200797062000164</c:v>
                </c:pt>
                <c:pt idx="100">
                  <c:v>0.38200797062000164</c:v>
                </c:pt>
                <c:pt idx="101">
                  <c:v>0.38200797062000164</c:v>
                </c:pt>
                <c:pt idx="102">
                  <c:v>0.38200797062000164</c:v>
                </c:pt>
                <c:pt idx="103">
                  <c:v>0.38200797062000164</c:v>
                </c:pt>
                <c:pt idx="104">
                  <c:v>0.38200797062000164</c:v>
                </c:pt>
                <c:pt idx="105">
                  <c:v>0.38200797062000164</c:v>
                </c:pt>
                <c:pt idx="106">
                  <c:v>0.38200797062000164</c:v>
                </c:pt>
                <c:pt idx="107">
                  <c:v>0.38200797062000164</c:v>
                </c:pt>
                <c:pt idx="108">
                  <c:v>0.38200797062000164</c:v>
                </c:pt>
                <c:pt idx="109">
                  <c:v>0.38200797062000164</c:v>
                </c:pt>
                <c:pt idx="110">
                  <c:v>0.38200797062000164</c:v>
                </c:pt>
                <c:pt idx="111">
                  <c:v>0.38200797062000164</c:v>
                </c:pt>
                <c:pt idx="112">
                  <c:v>0.38200797062000164</c:v>
                </c:pt>
                <c:pt idx="113">
                  <c:v>0.38200797062000164</c:v>
                </c:pt>
                <c:pt idx="114">
                  <c:v>0.38200797062000164</c:v>
                </c:pt>
                <c:pt idx="115">
                  <c:v>0.38200797062000164</c:v>
                </c:pt>
                <c:pt idx="116">
                  <c:v>0.38200797062000164</c:v>
                </c:pt>
                <c:pt idx="117">
                  <c:v>0.38200797062000164</c:v>
                </c:pt>
                <c:pt idx="118">
                  <c:v>0.38200797062000164</c:v>
                </c:pt>
                <c:pt idx="119">
                  <c:v>0.38200797062000164</c:v>
                </c:pt>
                <c:pt idx="120">
                  <c:v>0.38200797062000164</c:v>
                </c:pt>
                <c:pt idx="121">
                  <c:v>0.38200797062000164</c:v>
                </c:pt>
                <c:pt idx="122">
                  <c:v>0.38200797062000164</c:v>
                </c:pt>
                <c:pt idx="123">
                  <c:v>0.38200797062000164</c:v>
                </c:pt>
                <c:pt idx="124">
                  <c:v>0.38200797062000164</c:v>
                </c:pt>
                <c:pt idx="125">
                  <c:v>0.38200797062000164</c:v>
                </c:pt>
                <c:pt idx="126">
                  <c:v>0.38200797062000164</c:v>
                </c:pt>
                <c:pt idx="127">
                  <c:v>0.38200797062000164</c:v>
                </c:pt>
                <c:pt idx="128">
                  <c:v>0.38200797062000164</c:v>
                </c:pt>
                <c:pt idx="129">
                  <c:v>0.38200797062000164</c:v>
                </c:pt>
                <c:pt idx="130">
                  <c:v>0.38200797062000164</c:v>
                </c:pt>
                <c:pt idx="131">
                  <c:v>0.38200797062000164</c:v>
                </c:pt>
                <c:pt idx="132">
                  <c:v>0.38200797062000164</c:v>
                </c:pt>
                <c:pt idx="133">
                  <c:v>0.38200797062000164</c:v>
                </c:pt>
                <c:pt idx="134">
                  <c:v>0.38200797062000164</c:v>
                </c:pt>
                <c:pt idx="135">
                  <c:v>0.38200797062000164</c:v>
                </c:pt>
              </c:numCache>
            </c:numRef>
          </c:val>
          <c:smooth val="0"/>
        </c:ser>
        <c:ser>
          <c:idx val="1"/>
          <c:order val="1"/>
          <c:tx>
            <c:v>Mass trajectory</c:v>
          </c:tx>
          <c:extLst>
            <c:ext xmlns:c14="http://schemas.microsoft.com/office/drawing/2007/8/2/chart" uri="{6F2FDCE9-48DA-4B69-8628-5D25D57E5C99}">
              <c14:invertSolidFillFmt>
                <c14:spPr>
                  <a:solidFill>
                    <a:srgbClr val="000000"/>
                  </a:solidFill>
                </c14:spPr>
              </c14:invertSolidFillFmt>
            </c:ext>
          </c:extLst>
          <c:marker>
            <c:symbol val="none"/>
          </c:marker>
          <c:cat>
            <c:numRef>
              <c:f>'throwing calculations'!$B$1:$EG$1</c:f>
              <c:numCache/>
            </c:numRef>
          </c:cat>
          <c:val>
            <c:numRef>
              <c:f>'throwing calculations'!$B$11:$EG$11</c:f>
              <c:numCache>
                <c:ptCount val="136"/>
                <c:pt idx="0">
                  <c:v>0</c:v>
                </c:pt>
                <c:pt idx="1">
                  <c:v>0.0032105709392348356</c:v>
                </c:pt>
                <c:pt idx="2">
                  <c:v>0.007894315403894417</c:v>
                </c:pt>
                <c:pt idx="3">
                  <c:v>0.013671351274613512</c:v>
                </c:pt>
                <c:pt idx="4">
                  <c:v>0.020369694559613384</c:v>
                </c:pt>
                <c:pt idx="5">
                  <c:v>0.02786094189339854</c:v>
                </c:pt>
                <c:pt idx="6">
                  <c:v>0.036046764965916966</c:v>
                </c:pt>
                <c:pt idx="7">
                  <c:v>0.04484984494679215</c:v>
                </c:pt>
                <c:pt idx="8">
                  <c:v>0.054207917817446785</c:v>
                </c:pt>
                <c:pt idx="9">
                  <c:v>0.06406980111077466</c:v>
                </c:pt>
                <c:pt idx="10">
                  <c:v>0.07439267223789583</c:v>
                </c:pt>
                <c:pt idx="11">
                  <c:v>0.08514015223481448</c:v>
                </c:pt>
                <c:pt idx="12">
                  <c:v>0.09628092139460574</c:v>
                </c:pt>
                <c:pt idx="13">
                  <c:v>0.1077876956267877</c:v>
                </c:pt>
                <c:pt idx="14">
                  <c:v>0.11963645370394273</c:v>
                </c:pt>
                <c:pt idx="15">
                  <c:v>0.13180584307639648</c:v>
                </c:pt>
                <c:pt idx="16">
                  <c:v>0.1442767154658351</c:v>
                </c:pt>
                <c:pt idx="17">
                  <c:v>0.15703175857286888</c:v>
                </c:pt>
                <c:pt idx="18">
                  <c:v>0.17005520018549872</c:v>
                </c:pt>
                <c:pt idx="19">
                  <c:v>0.1833325676688044</c:v>
                </c:pt>
                <c:pt idx="20">
                  <c:v>0.19685049040970026</c:v>
                </c:pt>
                <c:pt idx="21">
                  <c:v>0.21059653600206638</c:v>
                </c:pt>
                <c:pt idx="22">
                  <c:v>0.22455907324134086</c:v>
                </c:pt>
                <c:pt idx="23">
                  <c:v>0.23872715664731445</c:v>
                </c:pt>
                <c:pt idx="24">
                  <c:v>0.2530904284427284</c:v>
                </c:pt>
                <c:pt idx="25">
                  <c:v>0.2676390348129316</c:v>
                </c:pt>
                <c:pt idx="26">
                  <c:v>0.2823635539466132</c:v>
                </c:pt>
                <c:pt idx="27">
                  <c:v>0.2972549338706092</c:v>
                </c:pt>
                <c:pt idx="28">
                  <c:v>0.3123044384858797</c:v>
                </c:pt>
                <c:pt idx="29">
                  <c:v>0.3275036005174831</c:v>
                </c:pt>
                <c:pt idx="30">
                  <c:v>0.3428441803307105</c:v>
                </c:pt>
                <c:pt idx="31">
                  <c:v>0.35831812975449445</c:v>
                </c:pt>
                <c:pt idx="32">
                  <c:v>0.3739175602035673</c:v>
                </c:pt>
                <c:pt idx="33">
                  <c:v>0.3887982559063283</c:v>
                </c:pt>
                <c:pt idx="34">
                  <c:v>0.40324295160908935</c:v>
                </c:pt>
                <c:pt idx="35">
                  <c:v>0.4172516473118504</c:v>
                </c:pt>
                <c:pt idx="36">
                  <c:v>0.4308243430146114</c:v>
                </c:pt>
                <c:pt idx="37">
                  <c:v>0.44396103871737247</c:v>
                </c:pt>
                <c:pt idx="38">
                  <c:v>0.4566617344201335</c:v>
                </c:pt>
                <c:pt idx="39">
                  <c:v>0.4689264301228946</c:v>
                </c:pt>
                <c:pt idx="40">
                  <c:v>0.48075512582565566</c:v>
                </c:pt>
                <c:pt idx="41">
                  <c:v>0.4921478215284167</c:v>
                </c:pt>
                <c:pt idx="42">
                  <c:v>0.5031045172311777</c:v>
                </c:pt>
                <c:pt idx="43">
                  <c:v>0.5136252129339387</c:v>
                </c:pt>
                <c:pt idx="44">
                  <c:v>0.5237099086366996</c:v>
                </c:pt>
                <c:pt idx="45">
                  <c:v>0.5333586043394606</c:v>
                </c:pt>
                <c:pt idx="46">
                  <c:v>0.5425713000422215</c:v>
                </c:pt>
                <c:pt idx="47">
                  <c:v>0.5513479957449825</c:v>
                </c:pt>
                <c:pt idx="48">
                  <c:v>0.5596886914477435</c:v>
                </c:pt>
                <c:pt idx="49">
                  <c:v>0.5675933871505044</c:v>
                </c:pt>
                <c:pt idx="50">
                  <c:v>0.5750620828532654</c:v>
                </c:pt>
                <c:pt idx="51">
                  <c:v>0.5820947785560264</c:v>
                </c:pt>
                <c:pt idx="52">
                  <c:v>0.5886914742587874</c:v>
                </c:pt>
                <c:pt idx="53">
                  <c:v>0.5948521699615484</c:v>
                </c:pt>
                <c:pt idx="54">
                  <c:v>0.6005768656643095</c:v>
                </c:pt>
                <c:pt idx="55">
                  <c:v>0.6058655613670705</c:v>
                </c:pt>
                <c:pt idx="56">
                  <c:v>0.6107182570698315</c:v>
                </c:pt>
                <c:pt idx="57">
                  <c:v>0.6151349527725926</c:v>
                </c:pt>
                <c:pt idx="58">
                  <c:v>0.6191156484753536</c:v>
                </c:pt>
                <c:pt idx="59">
                  <c:v>0.6226603441781146</c:v>
                </c:pt>
                <c:pt idx="60">
                  <c:v>0.6257690398808755</c:v>
                </c:pt>
                <c:pt idx="61">
                  <c:v>0.6284417355836365</c:v>
                </c:pt>
                <c:pt idx="62">
                  <c:v>0.6306784312863974</c:v>
                </c:pt>
                <c:pt idx="63">
                  <c:v>0.6324791269891584</c:v>
                </c:pt>
                <c:pt idx="64">
                  <c:v>0.6338438226919194</c:v>
                </c:pt>
                <c:pt idx="65">
                  <c:v>0.6347725183946804</c:v>
                </c:pt>
                <c:pt idx="66">
                  <c:v>0.6352652140974414</c:v>
                </c:pt>
                <c:pt idx="67">
                  <c:v>0.6353219098002024</c:v>
                </c:pt>
                <c:pt idx="68">
                  <c:v>0.6349426055029634</c:v>
                </c:pt>
                <c:pt idx="69">
                  <c:v>0.6341273012057245</c:v>
                </c:pt>
                <c:pt idx="70">
                  <c:v>0.6328759969084855</c:v>
                </c:pt>
                <c:pt idx="71">
                  <c:v>0.6311886926112465</c:v>
                </c:pt>
                <c:pt idx="72">
                  <c:v>0.6290653883140075</c:v>
                </c:pt>
                <c:pt idx="73">
                  <c:v>0.6265060840167684</c:v>
                </c:pt>
                <c:pt idx="74">
                  <c:v>0.6235107797195294</c:v>
                </c:pt>
                <c:pt idx="75">
                  <c:v>0.6200794754222904</c:v>
                </c:pt>
                <c:pt idx="76">
                  <c:v>0.6162121711250513</c:v>
                </c:pt>
                <c:pt idx="77">
                  <c:v>0.6119088668278123</c:v>
                </c:pt>
                <c:pt idx="78">
                  <c:v>0.6071695625305733</c:v>
                </c:pt>
                <c:pt idx="79">
                  <c:v>0.6019942582333343</c:v>
                </c:pt>
                <c:pt idx="80">
                  <c:v>0.5963829539360953</c:v>
                </c:pt>
                <c:pt idx="81">
                  <c:v>0.5903356496388563</c:v>
                </c:pt>
                <c:pt idx="82">
                  <c:v>0.5838523453416173</c:v>
                </c:pt>
                <c:pt idx="83">
                  <c:v>0.5769330410443784</c:v>
                </c:pt>
                <c:pt idx="84">
                  <c:v>0.5695777367471394</c:v>
                </c:pt>
                <c:pt idx="85">
                  <c:v>0.5617864324499005</c:v>
                </c:pt>
                <c:pt idx="86">
                  <c:v>0.5535591281526614</c:v>
                </c:pt>
                <c:pt idx="87">
                  <c:v>0.5448958238554223</c:v>
                </c:pt>
                <c:pt idx="88">
                  <c:v>0.5357965195581833</c:v>
                </c:pt>
                <c:pt idx="89">
                  <c:v>0.5262612152609443</c:v>
                </c:pt>
                <c:pt idx="90">
                  <c:v>0.5162899109637052</c:v>
                </c:pt>
                <c:pt idx="91">
                  <c:v>0.5058826066664662</c:v>
                </c:pt>
                <c:pt idx="92">
                  <c:v>0.4950393023692273</c:v>
                </c:pt>
                <c:pt idx="93">
                  <c:v>0.48375999807198833</c:v>
                </c:pt>
                <c:pt idx="94">
                  <c:v>0.4720446937747494</c:v>
                </c:pt>
                <c:pt idx="95">
                  <c:v>0.45989338947751046</c:v>
                </c:pt>
                <c:pt idx="96">
                  <c:v>0.44730608518027154</c:v>
                </c:pt>
                <c:pt idx="97">
                  <c:v>0.43428278088303257</c:v>
                </c:pt>
                <c:pt idx="98">
                  <c:v>0.4208234765857936</c:v>
                </c:pt>
                <c:pt idx="99">
                  <c:v>0.40692817228855466</c:v>
                </c:pt>
                <c:pt idx="100">
                  <c:v>0.3925968679913157</c:v>
                </c:pt>
                <c:pt idx="101">
                  <c:v>0.3778295636940768</c:v>
                </c:pt>
                <c:pt idx="102">
                  <c:v>0.36262625939683785</c:v>
                </c:pt>
                <c:pt idx="103">
                  <c:v>0.3469869550995989</c:v>
                </c:pt>
                <c:pt idx="104">
                  <c:v>0.33091165080236</c:v>
                </c:pt>
                <c:pt idx="105">
                  <c:v>0.31440034650512105</c:v>
                </c:pt>
                <c:pt idx="106">
                  <c:v>0.2974530422078821</c:v>
                </c:pt>
                <c:pt idx="107">
                  <c:v>0.28006973791064316</c:v>
                </c:pt>
                <c:pt idx="108">
                  <c:v>0.2622504336134042</c:v>
                </c:pt>
                <c:pt idx="109">
                  <c:v>0.2439951293161653</c:v>
                </c:pt>
                <c:pt idx="110">
                  <c:v>0.22530382501892635</c:v>
                </c:pt>
                <c:pt idx="111">
                  <c:v>0.2061765207216874</c:v>
                </c:pt>
                <c:pt idx="112">
                  <c:v>0.18661321642444847</c:v>
                </c:pt>
                <c:pt idx="113">
                  <c:v>0.16661391212720955</c:v>
                </c:pt>
                <c:pt idx="114">
                  <c:v>0.1461786078299706</c:v>
                </c:pt>
                <c:pt idx="115">
                  <c:v>0.12530730353273167</c:v>
                </c:pt>
                <c:pt idx="116">
                  <c:v>0.10399999923549275</c:v>
                </c:pt>
                <c:pt idx="117">
                  <c:v>0.08225669493825381</c:v>
                </c:pt>
                <c:pt idx="118">
                  <c:v>0.060077390641014874</c:v>
                </c:pt>
                <c:pt idx="119">
                  <c:v>0.03746208634377594</c:v>
                </c:pt>
                <c:pt idx="120">
                  <c:v>0.014410782046537004</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smooth val="0"/>
        </c:ser>
        <c:marker val="1"/>
        <c:axId val="64815180"/>
        <c:axId val="46465709"/>
      </c:lineChart>
      <c:catAx>
        <c:axId val="64815180"/>
        <c:scaling>
          <c:orientation val="minMax"/>
        </c:scaling>
        <c:axPos val="b"/>
        <c:title>
          <c:tx>
            <c:rich>
              <a:bodyPr vert="horz" rot="0" anchor="ctr"/>
              <a:lstStyle/>
              <a:p>
                <a:pPr algn="ctr">
                  <a:defRPr/>
                </a:pPr>
                <a:r>
                  <a:rPr lang="en-US" cap="none" sz="950" b="1" i="0" u="none" baseline="0"/>
                  <a:t>Secs</a:t>
                </a:r>
              </a:p>
            </c:rich>
          </c:tx>
          <c:layout/>
          <c:overlay val="0"/>
          <c:spPr>
            <a:noFill/>
            <a:ln>
              <a:noFill/>
            </a:ln>
          </c:spPr>
        </c:title>
        <c:delete val="0"/>
        <c:numFmt formatCode="General" sourceLinked="1"/>
        <c:majorTickMark val="out"/>
        <c:minorTickMark val="none"/>
        <c:tickLblPos val="nextTo"/>
        <c:crossAx val="46465709"/>
        <c:crosses val="autoZero"/>
        <c:auto val="1"/>
        <c:lblOffset val="100"/>
        <c:noMultiLvlLbl val="0"/>
      </c:catAx>
      <c:valAx>
        <c:axId val="46465709"/>
        <c:scaling>
          <c:orientation val="minMax"/>
        </c:scaling>
        <c:axPos val="l"/>
        <c:title>
          <c:tx>
            <c:rich>
              <a:bodyPr vert="horz" rot="-5400000" anchor="ctr"/>
              <a:lstStyle/>
              <a:p>
                <a:pPr algn="ctr">
                  <a:defRPr/>
                </a:pPr>
                <a:r>
                  <a:rPr lang="en-US" cap="none" sz="950" b="1" i="0" u="none" baseline="0"/>
                  <a:t>metres</a:t>
                </a:r>
              </a:p>
            </c:rich>
          </c:tx>
          <c:layout/>
          <c:overlay val="0"/>
          <c:spPr>
            <a:noFill/>
            <a:ln>
              <a:noFill/>
            </a:ln>
          </c:spPr>
        </c:title>
        <c:majorGridlines/>
        <c:delete val="0"/>
        <c:numFmt formatCode="General" sourceLinked="1"/>
        <c:majorTickMark val="out"/>
        <c:minorTickMark val="none"/>
        <c:tickLblPos val="nextTo"/>
        <c:crossAx val="64815180"/>
        <c:crossesAt val="1"/>
        <c:crossBetween val="between"/>
        <c:dispUnits/>
      </c:valAx>
      <c:spPr>
        <a:solidFill>
          <a:srgbClr val="C0C0C0"/>
        </a:solidFill>
        <a:ln w="12700">
          <a:solidFill>
            <a:srgbClr val="808080"/>
          </a:solidFill>
        </a:ln>
      </c:spPr>
    </c:plotArea>
    <c:legend>
      <c:legendPos val="t"/>
      <c:layout>
        <c:manualLayout>
          <c:xMode val="edge"/>
          <c:yMode val="edge"/>
          <c:x val="0.3665"/>
          <c:y val="0.02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Pressure in ram</c:v>
          </c:tx>
          <c:extLst>
            <c:ext xmlns:c14="http://schemas.microsoft.com/office/drawing/2007/8/2/chart" uri="{6F2FDCE9-48DA-4B69-8628-5D25D57E5C99}">
              <c14:invertSolidFillFmt>
                <c14:spPr>
                  <a:solidFill>
                    <a:srgbClr val="000000"/>
                  </a:solidFill>
                </c14:spPr>
              </c14:invertSolidFillFmt>
            </c:ext>
          </c:extLst>
          <c:cat>
            <c:numRef>
              <c:f>'throwing calculations'!$B$1:$EG$1</c:f>
              <c:numCache/>
            </c:numRef>
          </c:cat>
          <c:val>
            <c:numRef>
              <c:f>'throwing calculations'!$B$4:$EG$4</c:f>
              <c:numCache>
                <c:ptCount val="136"/>
                <c:pt idx="0">
                  <c:v>0</c:v>
                </c:pt>
                <c:pt idx="1">
                  <c:v>15.90972026482474</c:v>
                </c:pt>
                <c:pt idx="2">
                  <c:v>13.662952642168658</c:v>
                </c:pt>
                <c:pt idx="3">
                  <c:v>11.172277181683084</c:v>
                </c:pt>
                <c:pt idx="4">
                  <c:v>9.625867205496352</c:v>
                </c:pt>
                <c:pt idx="5">
                  <c:v>8.574299625063647</c:v>
                </c:pt>
                <c:pt idx="6">
                  <c:v>7.812026582745538</c:v>
                </c:pt>
                <c:pt idx="7">
                  <c:v>7.233264866832316</c:v>
                </c:pt>
                <c:pt idx="8">
                  <c:v>6.778278965497796</c:v>
                </c:pt>
                <c:pt idx="9">
                  <c:v>6.410830263326348</c:v>
                </c:pt>
                <c:pt idx="10">
                  <c:v>6.1076586362992185</c:v>
                </c:pt>
                <c:pt idx="11">
                  <c:v>5.853141434296071</c:v>
                </c:pt>
                <c:pt idx="12">
                  <c:v>5.636388262038288</c:v>
                </c:pt>
                <c:pt idx="13">
                  <c:v>5.4495687412727385</c:v>
                </c:pt>
                <c:pt idx="14">
                  <c:v>5.286903449753322</c:v>
                </c:pt>
                <c:pt idx="15">
                  <c:v>5.144030224880132</c:v>
                </c:pt>
                <c:pt idx="16">
                  <c:v>5.017592352775777</c:v>
                </c:pt>
                <c:pt idx="17">
                  <c:v>4.904962910990761</c:v>
                </c:pt>
                <c:pt idx="18">
                  <c:v>4.80405541589809</c:v>
                </c:pt>
                <c:pt idx="19">
                  <c:v>4.7131907573338445</c:v>
                </c:pt>
                <c:pt idx="20">
                  <c:v>4.631001779373639</c:v>
                </c:pt>
                <c:pt idx="21">
                  <c:v>4.556363610346108</c:v>
                </c:pt>
                <c:pt idx="22">
                  <c:v>4.488341961972806</c:v>
                </c:pt>
                <c:pt idx="23">
                  <c:v>4.4261541971057055</c:v>
                </c:pt>
                <c:pt idx="24">
                  <c:v>4.36913962041623</c:v>
                </c:pt>
                <c:pt idx="25">
                  <c:v>4.316736530912614</c:v>
                </c:pt>
                <c:pt idx="26">
                  <c:v>4.268464299800271</c:v>
                </c:pt>
                <c:pt idx="27">
                  <c:v>4.223909230014476</c:v>
                </c:pt>
                <c:pt idx="28">
                  <c:v>4.182713294385294</c:v>
                </c:pt>
                <c:pt idx="29">
                  <c:v>4.144565088373742</c:v>
                </c:pt>
                <c:pt idx="30">
                  <c:v>4.109192503303031</c:v>
                </c:pt>
                <c:pt idx="31">
                  <c:v>4.076356748469062</c:v>
                </c:pt>
                <c:pt idx="32">
                  <c:v>4.045847439785894</c:v>
                </c:pt>
                <c:pt idx="33">
                  <c:v>4.017478538420747</c:v>
                </c:pt>
                <c:pt idx="34">
                  <c:v>4.062415630719616</c:v>
                </c:pt>
                <c:pt idx="35">
                  <c:v>4.183783771424317</c:v>
                </c:pt>
                <c:pt idx="36">
                  <c:v>4.305151912129019</c:v>
                </c:pt>
                <c:pt idx="37">
                  <c:v>4.4265200528337205</c:v>
                </c:pt>
                <c:pt idx="38">
                  <c:v>4.547888193538422</c:v>
                </c:pt>
                <c:pt idx="39">
                  <c:v>4.669256334243124</c:v>
                </c:pt>
                <c:pt idx="40">
                  <c:v>4.790624474947825</c:v>
                </c:pt>
                <c:pt idx="41">
                  <c:v>4.911992615652527</c:v>
                </c:pt>
                <c:pt idx="42">
                  <c:v>5.0333607563572285</c:v>
                </c:pt>
                <c:pt idx="43">
                  <c:v>5.15472889706193</c:v>
                </c:pt>
                <c:pt idx="44">
                  <c:v>5.276097037766631</c:v>
                </c:pt>
                <c:pt idx="45">
                  <c:v>5.397465178471332</c:v>
                </c:pt>
                <c:pt idx="46">
                  <c:v>5.518833319176033</c:v>
                </c:pt>
                <c:pt idx="47">
                  <c:v>5.640201459880735</c:v>
                </c:pt>
                <c:pt idx="48">
                  <c:v>5.761569600585435</c:v>
                </c:pt>
                <c:pt idx="49">
                  <c:v>5.882937741290137</c:v>
                </c:pt>
                <c:pt idx="50">
                  <c:v>6.004305881994838</c:v>
                </c:pt>
                <c:pt idx="51">
                  <c:v>6.125674022699539</c:v>
                </c:pt>
                <c:pt idx="52">
                  <c:v>6.24704216340424</c:v>
                </c:pt>
                <c:pt idx="53">
                  <c:v>6.3684103041089415</c:v>
                </c:pt>
                <c:pt idx="54">
                  <c:v>6.489778444813642</c:v>
                </c:pt>
                <c:pt idx="55">
                  <c:v>6.611146585518344</c:v>
                </c:pt>
                <c:pt idx="56">
                  <c:v>6.7325147262230445</c:v>
                </c:pt>
                <c:pt idx="57">
                  <c:v>6.853882866927746</c:v>
                </c:pt>
                <c:pt idx="58">
                  <c:v>6.975251007632447</c:v>
                </c:pt>
                <c:pt idx="59">
                  <c:v>7.096619148337148</c:v>
                </c:pt>
                <c:pt idx="60">
                  <c:v>7.217987289041849</c:v>
                </c:pt>
                <c:pt idx="61">
                  <c:v>7.339355429746551</c:v>
                </c:pt>
                <c:pt idx="62">
                  <c:v>7.460723570451251</c:v>
                </c:pt>
                <c:pt idx="63">
                  <c:v>7.582091711155953</c:v>
                </c:pt>
                <c:pt idx="64">
                  <c:v>7.703459851860654</c:v>
                </c:pt>
                <c:pt idx="65">
                  <c:v>7.824827992565355</c:v>
                </c:pt>
                <c:pt idx="66">
                  <c:v>7.946196133270056</c:v>
                </c:pt>
                <c:pt idx="67">
                  <c:v>8.067564273974757</c:v>
                </c:pt>
                <c:pt idx="68">
                  <c:v>8.188932414679458</c:v>
                </c:pt>
                <c:pt idx="69">
                  <c:v>8.31030055538416</c:v>
                </c:pt>
                <c:pt idx="70">
                  <c:v>8.431668696088861</c:v>
                </c:pt>
                <c:pt idx="71">
                  <c:v>8.553036836793561</c:v>
                </c:pt>
                <c:pt idx="72">
                  <c:v>8.674404977498263</c:v>
                </c:pt>
                <c:pt idx="73">
                  <c:v>8.795773118202964</c:v>
                </c:pt>
                <c:pt idx="74">
                  <c:v>8.8493142431769</c:v>
                </c:pt>
                <c:pt idx="75">
                  <c:v>8.888127024945222</c:v>
                </c:pt>
                <c:pt idx="76">
                  <c:v>8.926939806713541</c:v>
                </c:pt>
                <c:pt idx="77">
                  <c:v>8.96575258848186</c:v>
                </c:pt>
                <c:pt idx="78">
                  <c:v>9.00456537025018</c:v>
                </c:pt>
                <c:pt idx="79">
                  <c:v>9.0433781520185</c:v>
                </c:pt>
                <c:pt idx="80">
                  <c:v>9.082190933786821</c:v>
                </c:pt>
                <c:pt idx="81">
                  <c:v>9.121003715555139</c:v>
                </c:pt>
                <c:pt idx="82">
                  <c:v>9.159816497323458</c:v>
                </c:pt>
                <c:pt idx="83">
                  <c:v>9.19862927909178</c:v>
                </c:pt>
                <c:pt idx="84">
                  <c:v>9.237442060860099</c:v>
                </c:pt>
                <c:pt idx="85">
                  <c:v>9.276254842628418</c:v>
                </c:pt>
                <c:pt idx="86">
                  <c:v>9.315067624396736</c:v>
                </c:pt>
                <c:pt idx="87">
                  <c:v>9.353880406165057</c:v>
                </c:pt>
                <c:pt idx="88">
                  <c:v>9.392693187933377</c:v>
                </c:pt>
                <c:pt idx="89">
                  <c:v>9.431505969701696</c:v>
                </c:pt>
                <c:pt idx="90">
                  <c:v>9.470318751470016</c:v>
                </c:pt>
                <c:pt idx="91">
                  <c:v>9.509131533238335</c:v>
                </c:pt>
                <c:pt idx="92">
                  <c:v>9.547944315006657</c:v>
                </c:pt>
                <c:pt idx="93">
                  <c:v>9.586757096774974</c:v>
                </c:pt>
                <c:pt idx="94">
                  <c:v>9.625569878543294</c:v>
                </c:pt>
                <c:pt idx="95">
                  <c:v>9.664382660311613</c:v>
                </c:pt>
                <c:pt idx="96">
                  <c:v>9.703195442079934</c:v>
                </c:pt>
                <c:pt idx="97">
                  <c:v>9.742008223848254</c:v>
                </c:pt>
                <c:pt idx="98">
                  <c:v>9.780821005616572</c:v>
                </c:pt>
                <c:pt idx="99">
                  <c:v>9.819633787384893</c:v>
                </c:pt>
                <c:pt idx="100">
                  <c:v>9.858446569153212</c:v>
                </c:pt>
                <c:pt idx="101">
                  <c:v>9.897259350921532</c:v>
                </c:pt>
                <c:pt idx="102">
                  <c:v>9.936072132689851</c:v>
                </c:pt>
                <c:pt idx="103">
                  <c:v>9.97488491445817</c:v>
                </c:pt>
                <c:pt idx="104">
                  <c:v>10.013697696226492</c:v>
                </c:pt>
                <c:pt idx="105">
                  <c:v>10.05251047799481</c:v>
                </c:pt>
                <c:pt idx="106">
                  <c:v>10.09132325976313</c:v>
                </c:pt>
                <c:pt idx="107">
                  <c:v>10.130136041531449</c:v>
                </c:pt>
                <c:pt idx="108">
                  <c:v>10.16894882329977</c:v>
                </c:pt>
                <c:pt idx="109">
                  <c:v>10.20776160506809</c:v>
                </c:pt>
                <c:pt idx="110">
                  <c:v>10.246574386836407</c:v>
                </c:pt>
                <c:pt idx="111">
                  <c:v>10.285387168604728</c:v>
                </c:pt>
                <c:pt idx="112">
                  <c:v>10.324199950373048</c:v>
                </c:pt>
                <c:pt idx="113">
                  <c:v>10.363012732141367</c:v>
                </c:pt>
                <c:pt idx="114">
                  <c:v>10.401825513909687</c:v>
                </c:pt>
                <c:pt idx="115">
                  <c:v>10.440638295678006</c:v>
                </c:pt>
                <c:pt idx="116">
                  <c:v>10.479451077446326</c:v>
                </c:pt>
                <c:pt idx="117">
                  <c:v>10.518263859214645</c:v>
                </c:pt>
                <c:pt idx="118">
                  <c:v>10.557076640982965</c:v>
                </c:pt>
                <c:pt idx="119">
                  <c:v>10.595889422751284</c:v>
                </c:pt>
                <c:pt idx="120">
                  <c:v>10.634702204519606</c:v>
                </c:pt>
                <c:pt idx="121">
                  <c:v>10.673514986287923</c:v>
                </c:pt>
                <c:pt idx="122">
                  <c:v>10.712327768056243</c:v>
                </c:pt>
                <c:pt idx="123">
                  <c:v>10.751140549824564</c:v>
                </c:pt>
                <c:pt idx="124">
                  <c:v>10.789953331592884</c:v>
                </c:pt>
                <c:pt idx="125">
                  <c:v>10.828766113361203</c:v>
                </c:pt>
                <c:pt idx="126">
                  <c:v>10.86757889512952</c:v>
                </c:pt>
                <c:pt idx="127">
                  <c:v>10.906391676897842</c:v>
                </c:pt>
                <c:pt idx="128">
                  <c:v>10.945204458666161</c:v>
                </c:pt>
                <c:pt idx="129">
                  <c:v>10.984017240434481</c:v>
                </c:pt>
                <c:pt idx="130">
                  <c:v>11.0228300222028</c:v>
                </c:pt>
                <c:pt idx="131">
                  <c:v>11.06164280397112</c:v>
                </c:pt>
                <c:pt idx="132">
                  <c:v>11.100455585739441</c:v>
                </c:pt>
                <c:pt idx="133">
                  <c:v>11.139268367507759</c:v>
                </c:pt>
                <c:pt idx="134">
                  <c:v>11.178081149276078</c:v>
                </c:pt>
                <c:pt idx="135">
                  <c:v>11.2168939310444</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'throwing calculations'!$B$1:$EG$1</c:f>
              <c:numCache/>
            </c:numRef>
          </c:cat>
          <c:val>
            <c:numRef>
              <c:f>'throwing calculations'!$B$7:$EG$7</c:f>
              <c:numCache>
                <c:ptCount val="136"/>
                <c:pt idx="0">
                  <c:v>16</c:v>
                </c:pt>
                <c:pt idx="1">
                  <c:v>15.90972026482474</c:v>
                </c:pt>
                <c:pt idx="2">
                  <c:v>15.718386931491407</c:v>
                </c:pt>
                <c:pt idx="3">
                  <c:v>15.527053598158073</c:v>
                </c:pt>
                <c:pt idx="4">
                  <c:v>15.33572026482474</c:v>
                </c:pt>
                <c:pt idx="5">
                  <c:v>15.144386931491407</c:v>
                </c:pt>
                <c:pt idx="6">
                  <c:v>15.053053598158074</c:v>
                </c:pt>
                <c:pt idx="7">
                  <c:v>14.96172026482474</c:v>
                </c:pt>
                <c:pt idx="8">
                  <c:v>14.870386931491408</c:v>
                </c:pt>
                <c:pt idx="9">
                  <c:v>14.779053598158072</c:v>
                </c:pt>
                <c:pt idx="10">
                  <c:v>14.68772026482474</c:v>
                </c:pt>
                <c:pt idx="11">
                  <c:v>14.59638693149141</c:v>
                </c:pt>
                <c:pt idx="12">
                  <c:v>14.505053598158073</c:v>
                </c:pt>
                <c:pt idx="13">
                  <c:v>14.413720264824741</c:v>
                </c:pt>
                <c:pt idx="14">
                  <c:v>14.322386931491407</c:v>
                </c:pt>
                <c:pt idx="15">
                  <c:v>14.231053598158073</c:v>
                </c:pt>
                <c:pt idx="16">
                  <c:v>14.139720264824742</c:v>
                </c:pt>
                <c:pt idx="17">
                  <c:v>14.048386931491407</c:v>
                </c:pt>
                <c:pt idx="18">
                  <c:v>13.957053598158076</c:v>
                </c:pt>
                <c:pt idx="19">
                  <c:v>13.865720264824741</c:v>
                </c:pt>
                <c:pt idx="20">
                  <c:v>13.774386931491408</c:v>
                </c:pt>
                <c:pt idx="21">
                  <c:v>13.683053598158077</c:v>
                </c:pt>
                <c:pt idx="22">
                  <c:v>13.591720264824742</c:v>
                </c:pt>
                <c:pt idx="23">
                  <c:v>13.50038693149141</c:v>
                </c:pt>
                <c:pt idx="24">
                  <c:v>13.409053598158078</c:v>
                </c:pt>
                <c:pt idx="25">
                  <c:v>13.317720264824743</c:v>
                </c:pt>
                <c:pt idx="26">
                  <c:v>13.22638693149141</c:v>
                </c:pt>
                <c:pt idx="27">
                  <c:v>13.135053598158073</c:v>
                </c:pt>
                <c:pt idx="28">
                  <c:v>13.043720264824742</c:v>
                </c:pt>
                <c:pt idx="29">
                  <c:v>12.95238693149141</c:v>
                </c:pt>
                <c:pt idx="30">
                  <c:v>12.861053598158074</c:v>
                </c:pt>
                <c:pt idx="31">
                  <c:v>12.769720264824741</c:v>
                </c:pt>
                <c:pt idx="32">
                  <c:v>12.67838693149141</c:v>
                </c:pt>
                <c:pt idx="33">
                  <c:v>12.587053598158075</c:v>
                </c:pt>
                <c:pt idx="34">
                  <c:v>12.495720264824742</c:v>
                </c:pt>
                <c:pt idx="35">
                  <c:v>12.404386931491405</c:v>
                </c:pt>
                <c:pt idx="36">
                  <c:v>12.313053598158074</c:v>
                </c:pt>
                <c:pt idx="37">
                  <c:v>12.221720264824743</c:v>
                </c:pt>
                <c:pt idx="38">
                  <c:v>12.130386931491408</c:v>
                </c:pt>
                <c:pt idx="39">
                  <c:v>12.039053598158075</c:v>
                </c:pt>
                <c:pt idx="40">
                  <c:v>11.94772026482474</c:v>
                </c:pt>
                <c:pt idx="41">
                  <c:v>11.856386931491407</c:v>
                </c:pt>
                <c:pt idx="42">
                  <c:v>11.765053598158076</c:v>
                </c:pt>
                <c:pt idx="43">
                  <c:v>11.673720264824741</c:v>
                </c:pt>
                <c:pt idx="44">
                  <c:v>11.58238693149141</c:v>
                </c:pt>
                <c:pt idx="45">
                  <c:v>11.491053598158075</c:v>
                </c:pt>
                <c:pt idx="46">
                  <c:v>11.399720264824744</c:v>
                </c:pt>
                <c:pt idx="47">
                  <c:v>11.308386931491412</c:v>
                </c:pt>
                <c:pt idx="48">
                  <c:v>11.217053598158078</c:v>
                </c:pt>
                <c:pt idx="49">
                  <c:v>11.125720264824743</c:v>
                </c:pt>
                <c:pt idx="50">
                  <c:v>11.034386931491412</c:v>
                </c:pt>
                <c:pt idx="51">
                  <c:v>10.94305359815808</c:v>
                </c:pt>
                <c:pt idx="52">
                  <c:v>10.851720264824745</c:v>
                </c:pt>
                <c:pt idx="53">
                  <c:v>10.76038693149141</c:v>
                </c:pt>
                <c:pt idx="54">
                  <c:v>10.66905359815808</c:v>
                </c:pt>
                <c:pt idx="55">
                  <c:v>10.577720264824748</c:v>
                </c:pt>
                <c:pt idx="56">
                  <c:v>10.486386931491413</c:v>
                </c:pt>
                <c:pt idx="57">
                  <c:v>10.395053598158079</c:v>
                </c:pt>
                <c:pt idx="58">
                  <c:v>10.303720264824747</c:v>
                </c:pt>
                <c:pt idx="59">
                  <c:v>10.212386931491416</c:v>
                </c:pt>
                <c:pt idx="60">
                  <c:v>10.121053598158081</c:v>
                </c:pt>
                <c:pt idx="61">
                  <c:v>10.029720264824746</c:v>
                </c:pt>
                <c:pt idx="62">
                  <c:v>9.938386931491415</c:v>
                </c:pt>
                <c:pt idx="63">
                  <c:v>9.847053598158084</c:v>
                </c:pt>
                <c:pt idx="64">
                  <c:v>9.755720264824749</c:v>
                </c:pt>
                <c:pt idx="65">
                  <c:v>9.664386931491414</c:v>
                </c:pt>
                <c:pt idx="66">
                  <c:v>9.573053598158083</c:v>
                </c:pt>
                <c:pt idx="67">
                  <c:v>9.481720264824753</c:v>
                </c:pt>
                <c:pt idx="68">
                  <c:v>9.390386931491417</c:v>
                </c:pt>
                <c:pt idx="69">
                  <c:v>9.299053598158082</c:v>
                </c:pt>
                <c:pt idx="70">
                  <c:v>9.20772026482475</c:v>
                </c:pt>
                <c:pt idx="71">
                  <c:v>9.116386931491421</c:v>
                </c:pt>
                <c:pt idx="72">
                  <c:v>9.025053598158085</c:v>
                </c:pt>
                <c:pt idx="73">
                  <c:v>8.93372026482475</c:v>
                </c:pt>
                <c:pt idx="74">
                  <c:v>8.949314243176905</c:v>
                </c:pt>
                <c:pt idx="75">
                  <c:v>8.988127024945225</c:v>
                </c:pt>
                <c:pt idx="76">
                  <c:v>9.026939806713543</c:v>
                </c:pt>
                <c:pt idx="77">
                  <c:v>9.06575258848186</c:v>
                </c:pt>
                <c:pt idx="78">
                  <c:v>9.104565370250182</c:v>
                </c:pt>
                <c:pt idx="79">
                  <c:v>9.143378152018505</c:v>
                </c:pt>
                <c:pt idx="80">
                  <c:v>9.182190933786819</c:v>
                </c:pt>
                <c:pt idx="81">
                  <c:v>9.22100371555514</c:v>
                </c:pt>
                <c:pt idx="82">
                  <c:v>9.259816497323461</c:v>
                </c:pt>
                <c:pt idx="83">
                  <c:v>9.29862927909178</c:v>
                </c:pt>
                <c:pt idx="84">
                  <c:v>9.337442060860099</c:v>
                </c:pt>
                <c:pt idx="85">
                  <c:v>9.376254842628416</c:v>
                </c:pt>
                <c:pt idx="86">
                  <c:v>9.415067624396741</c:v>
                </c:pt>
                <c:pt idx="87">
                  <c:v>9.45388040616506</c:v>
                </c:pt>
                <c:pt idx="88">
                  <c:v>9.492693187933378</c:v>
                </c:pt>
                <c:pt idx="89">
                  <c:v>9.531505969701696</c:v>
                </c:pt>
                <c:pt idx="90">
                  <c:v>9.570318751470017</c:v>
                </c:pt>
                <c:pt idx="91">
                  <c:v>9.60913153323834</c:v>
                </c:pt>
                <c:pt idx="92">
                  <c:v>9.647944315006654</c:v>
                </c:pt>
                <c:pt idx="93">
                  <c:v>9.686757096774976</c:v>
                </c:pt>
                <c:pt idx="94">
                  <c:v>9.725569878543297</c:v>
                </c:pt>
                <c:pt idx="95">
                  <c:v>9.764382660311618</c:v>
                </c:pt>
                <c:pt idx="96">
                  <c:v>9.803195442079934</c:v>
                </c:pt>
                <c:pt idx="97">
                  <c:v>9.842008223848252</c:v>
                </c:pt>
                <c:pt idx="98">
                  <c:v>9.880821005616577</c:v>
                </c:pt>
                <c:pt idx="99">
                  <c:v>9.919633787384896</c:v>
                </c:pt>
                <c:pt idx="100">
                  <c:v>9.958446569153214</c:v>
                </c:pt>
                <c:pt idx="101">
                  <c:v>9.997259350921532</c:v>
                </c:pt>
                <c:pt idx="102">
                  <c:v>10.036072132689853</c:v>
                </c:pt>
                <c:pt idx="103">
                  <c:v>10.074884914458174</c:v>
                </c:pt>
                <c:pt idx="104">
                  <c:v>10.11369769622649</c:v>
                </c:pt>
                <c:pt idx="105">
                  <c:v>10.152510477994811</c:v>
                </c:pt>
                <c:pt idx="106">
                  <c:v>10.191323259763132</c:v>
                </c:pt>
                <c:pt idx="107">
                  <c:v>10.230136041531454</c:v>
                </c:pt>
                <c:pt idx="108">
                  <c:v>10.26894882329977</c:v>
                </c:pt>
                <c:pt idx="109">
                  <c:v>10.307761605068087</c:v>
                </c:pt>
                <c:pt idx="110">
                  <c:v>10.346574386836412</c:v>
                </c:pt>
                <c:pt idx="111">
                  <c:v>10.38538716860473</c:v>
                </c:pt>
                <c:pt idx="112">
                  <c:v>10.424199950373048</c:v>
                </c:pt>
                <c:pt idx="113">
                  <c:v>10.463012732141365</c:v>
                </c:pt>
                <c:pt idx="114">
                  <c:v>10.50182551390969</c:v>
                </c:pt>
                <c:pt idx="115">
                  <c:v>10.540638295678011</c:v>
                </c:pt>
                <c:pt idx="116">
                  <c:v>10.579451077446329</c:v>
                </c:pt>
                <c:pt idx="117">
                  <c:v>10.618263859214647</c:v>
                </c:pt>
                <c:pt idx="118">
                  <c:v>10.657076640982968</c:v>
                </c:pt>
                <c:pt idx="119">
                  <c:v>10.69588942275129</c:v>
                </c:pt>
                <c:pt idx="120">
                  <c:v>10.734702204519603</c:v>
                </c:pt>
                <c:pt idx="121">
                  <c:v>10.773514986287925</c:v>
                </c:pt>
                <c:pt idx="122">
                  <c:v>10.812327768056246</c:v>
                </c:pt>
                <c:pt idx="123">
                  <c:v>10.851140549824567</c:v>
                </c:pt>
                <c:pt idx="124">
                  <c:v>10.889953331592885</c:v>
                </c:pt>
                <c:pt idx="125">
                  <c:v>10.928766113361203</c:v>
                </c:pt>
                <c:pt idx="126">
                  <c:v>10.967578895129527</c:v>
                </c:pt>
                <c:pt idx="127">
                  <c:v>11.006391676897845</c:v>
                </c:pt>
                <c:pt idx="128">
                  <c:v>11.045204458666163</c:v>
                </c:pt>
                <c:pt idx="129">
                  <c:v>11.08401724043448</c:v>
                </c:pt>
                <c:pt idx="130">
                  <c:v>11.122830022202802</c:v>
                </c:pt>
                <c:pt idx="131">
                  <c:v>11.161642803971127</c:v>
                </c:pt>
                <c:pt idx="132">
                  <c:v>11.20045558573944</c:v>
                </c:pt>
                <c:pt idx="133">
                  <c:v>11.239268367507762</c:v>
                </c:pt>
                <c:pt idx="134">
                  <c:v>11.278081149276083</c:v>
                </c:pt>
                <c:pt idx="135">
                  <c:v>11.316893931044401</c:v>
                </c:pt>
              </c:numCache>
            </c:numRef>
          </c:val>
          <c:smooth val="0"/>
        </c:ser>
        <c:marker val="1"/>
        <c:axId val="15538198"/>
        <c:axId val="5626055"/>
      </c:lineChart>
      <c:catAx>
        <c:axId val="15538198"/>
        <c:scaling>
          <c:orientation val="minMax"/>
        </c:scaling>
        <c:axPos val="b"/>
        <c:title>
          <c:tx>
            <c:rich>
              <a:bodyPr vert="horz" rot="0" anchor="ctr"/>
              <a:lstStyle/>
              <a:p>
                <a:pPr algn="ctr">
                  <a:defRPr/>
                </a:pPr>
                <a:r>
                  <a:rPr lang="en-US" cap="none" sz="1000" b="1" i="0" u="none" baseline="0"/>
                  <a:t>secs</a:t>
                </a:r>
              </a:p>
            </c:rich>
          </c:tx>
          <c:layout/>
          <c:overlay val="0"/>
          <c:spPr>
            <a:noFill/>
            <a:ln>
              <a:noFill/>
            </a:ln>
          </c:spPr>
        </c:title>
        <c:delete val="0"/>
        <c:numFmt formatCode="General" sourceLinked="1"/>
        <c:majorTickMark val="out"/>
        <c:minorTickMark val="none"/>
        <c:tickLblPos val="nextTo"/>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sz="1000" b="1" i="0" u="none" baseline="0"/>
                  <a:t>bars</a:t>
                </a:r>
              </a:p>
            </c:rich>
          </c:tx>
          <c:layout/>
          <c:overlay val="0"/>
          <c:spPr>
            <a:noFill/>
            <a:ln>
              <a:noFill/>
            </a:ln>
          </c:spPr>
        </c:title>
        <c:majorGridlines/>
        <c:delete val="0"/>
        <c:numFmt formatCode="General" sourceLinked="1"/>
        <c:majorTickMark val="out"/>
        <c:minorTickMark val="none"/>
        <c:tickLblPos val="nextTo"/>
        <c:crossAx val="155381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0</xdr:row>
      <xdr:rowOff>57150</xdr:rowOff>
    </xdr:from>
    <xdr:to>
      <xdr:col>14</xdr:col>
      <xdr:colOff>447675</xdr:colOff>
      <xdr:row>18</xdr:row>
      <xdr:rowOff>66675</xdr:rowOff>
    </xdr:to>
    <xdr:graphicFrame>
      <xdr:nvGraphicFramePr>
        <xdr:cNvPr id="1" name="Chart 1"/>
        <xdr:cNvGraphicFramePr/>
      </xdr:nvGraphicFramePr>
      <xdr:xfrm>
        <a:off x="2828925" y="57150"/>
        <a:ext cx="6391275" cy="294322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18</xdr:row>
      <xdr:rowOff>142875</xdr:rowOff>
    </xdr:from>
    <xdr:to>
      <xdr:col>14</xdr:col>
      <xdr:colOff>466725</xdr:colOff>
      <xdr:row>33</xdr:row>
      <xdr:rowOff>28575</xdr:rowOff>
    </xdr:to>
    <xdr:graphicFrame>
      <xdr:nvGraphicFramePr>
        <xdr:cNvPr id="2" name="Chart 3"/>
        <xdr:cNvGraphicFramePr/>
      </xdr:nvGraphicFramePr>
      <xdr:xfrm>
        <a:off x="2847975" y="3076575"/>
        <a:ext cx="6391275" cy="23145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9</xdr:row>
      <xdr:rowOff>0</xdr:rowOff>
    </xdr:from>
    <xdr:to>
      <xdr:col>12</xdr:col>
      <xdr:colOff>9525</xdr:colOff>
      <xdr:row>9</xdr:row>
      <xdr:rowOff>0</xdr:rowOff>
    </xdr:to>
    <xdr:graphicFrame>
      <xdr:nvGraphicFramePr>
        <xdr:cNvPr id="1" name="Chart 7"/>
        <xdr:cNvGraphicFramePr/>
      </xdr:nvGraphicFramePr>
      <xdr:xfrm>
        <a:off x="4133850" y="1457325"/>
        <a:ext cx="464820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22</xdr:row>
      <xdr:rowOff>0</xdr:rowOff>
    </xdr:from>
    <xdr:to>
      <xdr:col>6</xdr:col>
      <xdr:colOff>714375</xdr:colOff>
      <xdr:row>31</xdr:row>
      <xdr:rowOff>95250</xdr:rowOff>
    </xdr:to>
    <xdr:graphicFrame>
      <xdr:nvGraphicFramePr>
        <xdr:cNvPr id="1" name="Chart 1"/>
        <xdr:cNvGraphicFramePr/>
      </xdr:nvGraphicFramePr>
      <xdr:xfrm>
        <a:off x="3505200" y="3562350"/>
        <a:ext cx="2714625" cy="15525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18</xdr:row>
      <xdr:rowOff>152400</xdr:rowOff>
    </xdr:from>
    <xdr:to>
      <xdr:col>3</xdr:col>
      <xdr:colOff>19050</xdr:colOff>
      <xdr:row>33</xdr:row>
      <xdr:rowOff>19050</xdr:rowOff>
    </xdr:to>
    <xdr:graphicFrame>
      <xdr:nvGraphicFramePr>
        <xdr:cNvPr id="2" name="Chart 2"/>
        <xdr:cNvGraphicFramePr/>
      </xdr:nvGraphicFramePr>
      <xdr:xfrm>
        <a:off x="104775" y="3067050"/>
        <a:ext cx="3105150" cy="2295525"/>
      </xdr:xfrm>
      <a:graphic>
        <a:graphicData uri="http://schemas.openxmlformats.org/drawingml/2006/chart">
          <c:chart xmlns:c="http://schemas.openxmlformats.org/drawingml/2006/chart" r:id="rId2"/>
        </a:graphicData>
      </a:graphic>
    </xdr:graphicFrame>
    <xdr:clientData/>
  </xdr:twoCellAnchor>
  <xdr:twoCellAnchor>
    <xdr:from>
      <xdr:col>7</xdr:col>
      <xdr:colOff>352425</xdr:colOff>
      <xdr:row>18</xdr:row>
      <xdr:rowOff>152400</xdr:rowOff>
    </xdr:from>
    <xdr:to>
      <xdr:col>12</xdr:col>
      <xdr:colOff>266700</xdr:colOff>
      <xdr:row>32</xdr:row>
      <xdr:rowOff>142875</xdr:rowOff>
    </xdr:to>
    <xdr:graphicFrame>
      <xdr:nvGraphicFramePr>
        <xdr:cNvPr id="3" name="Chart 8"/>
        <xdr:cNvGraphicFramePr/>
      </xdr:nvGraphicFramePr>
      <xdr:xfrm>
        <a:off x="6629400" y="3067050"/>
        <a:ext cx="3771900" cy="2257425"/>
      </xdr:xfrm>
      <a:graphic>
        <a:graphicData uri="http://schemas.openxmlformats.org/drawingml/2006/chart">
          <c:chart xmlns:c="http://schemas.openxmlformats.org/drawingml/2006/chart" r:id="rId3"/>
        </a:graphicData>
      </a:graphic>
    </xdr:graphicFrame>
    <xdr:clientData/>
  </xdr:twoCellAnchor>
  <xdr:twoCellAnchor>
    <xdr:from>
      <xdr:col>3</xdr:col>
      <xdr:colOff>85725</xdr:colOff>
      <xdr:row>18</xdr:row>
      <xdr:rowOff>152400</xdr:rowOff>
    </xdr:from>
    <xdr:to>
      <xdr:col>7</xdr:col>
      <xdr:colOff>295275</xdr:colOff>
      <xdr:row>33</xdr:row>
      <xdr:rowOff>0</xdr:rowOff>
    </xdr:to>
    <xdr:graphicFrame>
      <xdr:nvGraphicFramePr>
        <xdr:cNvPr id="4" name="Chart 97"/>
        <xdr:cNvGraphicFramePr/>
      </xdr:nvGraphicFramePr>
      <xdr:xfrm>
        <a:off x="3276600" y="3067050"/>
        <a:ext cx="3295650" cy="2276475"/>
      </xdr:xfrm>
      <a:graphic>
        <a:graphicData uri="http://schemas.openxmlformats.org/drawingml/2006/chart">
          <c:chart xmlns:c="http://schemas.openxmlformats.org/drawingml/2006/chart" r:id="rId4"/>
        </a:graphicData>
      </a:graphic>
    </xdr:graphicFrame>
    <xdr:clientData/>
  </xdr:twoCellAnchor>
  <xdr:twoCellAnchor>
    <xdr:from>
      <xdr:col>6</xdr:col>
      <xdr:colOff>114300</xdr:colOff>
      <xdr:row>23</xdr:row>
      <xdr:rowOff>76200</xdr:rowOff>
    </xdr:from>
    <xdr:to>
      <xdr:col>7</xdr:col>
      <xdr:colOff>200025</xdr:colOff>
      <xdr:row>32</xdr:row>
      <xdr:rowOff>104775</xdr:rowOff>
    </xdr:to>
    <xdr:sp>
      <xdr:nvSpPr>
        <xdr:cNvPr id="5" name="TextBox 412"/>
        <xdr:cNvSpPr txBox="1">
          <a:spLocks noChangeArrowheads="1"/>
        </xdr:cNvSpPr>
      </xdr:nvSpPr>
      <xdr:spPr>
        <a:xfrm>
          <a:off x="5619750" y="3800475"/>
          <a:ext cx="857250" cy="148590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Tahoma"/>
              <a:ea typeface="Tahoma"/>
              <a:cs typeface="Tahoma"/>
            </a:rPr>
            <a:t>
Zoom
Animate
Shift Y
Shift X</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19</xdr:row>
      <xdr:rowOff>19050</xdr:rowOff>
    </xdr:from>
    <xdr:to>
      <xdr:col>9</xdr:col>
      <xdr:colOff>38100</xdr:colOff>
      <xdr:row>37</xdr:row>
      <xdr:rowOff>9525</xdr:rowOff>
    </xdr:to>
    <xdr:graphicFrame>
      <xdr:nvGraphicFramePr>
        <xdr:cNvPr id="1" name="Chart 2"/>
        <xdr:cNvGraphicFramePr/>
      </xdr:nvGraphicFramePr>
      <xdr:xfrm>
        <a:off x="2590800" y="3095625"/>
        <a:ext cx="4191000" cy="2905125"/>
      </xdr:xfrm>
      <a:graphic>
        <a:graphicData uri="http://schemas.openxmlformats.org/drawingml/2006/chart">
          <c:chart xmlns:c="http://schemas.openxmlformats.org/drawingml/2006/chart" r:id="rId1"/>
        </a:graphicData>
      </a:graphic>
    </xdr:graphicFrame>
    <xdr:clientData/>
  </xdr:twoCellAnchor>
  <xdr:twoCellAnchor>
    <xdr:from>
      <xdr:col>9</xdr:col>
      <xdr:colOff>114300</xdr:colOff>
      <xdr:row>19</xdr:row>
      <xdr:rowOff>38100</xdr:rowOff>
    </xdr:from>
    <xdr:to>
      <xdr:col>15</xdr:col>
      <xdr:colOff>295275</xdr:colOff>
      <xdr:row>35</xdr:row>
      <xdr:rowOff>114300</xdr:rowOff>
    </xdr:to>
    <xdr:graphicFrame>
      <xdr:nvGraphicFramePr>
        <xdr:cNvPr id="2" name="Chart 4"/>
        <xdr:cNvGraphicFramePr/>
      </xdr:nvGraphicFramePr>
      <xdr:xfrm>
        <a:off x="6858000" y="3114675"/>
        <a:ext cx="3781425" cy="2667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oleObject" Target="../embeddings/oleObject_9_0.bin" /><Relationship Id="rId3"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oleObject" Target="../embeddings/oleObject_10_0.bin" /><Relationship Id="rId3"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oleObject" Target="../embeddings/oleObject_11_0.bin" /><Relationship Id="rId3" Type="http://schemas.openxmlformats.org/officeDocument/2006/relationships/vmlDrawing" Target="../drawings/vmlDrawing7.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vmlDrawing" Target="../drawings/vmlDrawing2.vml" /><Relationship Id="rId7" Type="http://schemas.openxmlformats.org/officeDocument/2006/relationships/drawing" Target="../drawings/drawing3.x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3"/>
  <sheetViews>
    <sheetView showGridLines="0" tabSelected="1" workbookViewId="0" topLeftCell="B1">
      <selection activeCell="C7" sqref="C7"/>
    </sheetView>
  </sheetViews>
  <sheetFormatPr defaultColWidth="9.140625" defaultRowHeight="12.75"/>
  <cols>
    <col min="1" max="1" width="1.57421875" style="0" customWidth="1"/>
    <col min="2" max="2" width="22.57421875" style="0" customWidth="1"/>
    <col min="3" max="3" width="8.421875" style="0" customWidth="1"/>
    <col min="4" max="4" width="9.00390625" style="0" customWidth="1"/>
    <col min="5" max="16384" width="9.00390625" style="0" bestFit="1" customWidth="1"/>
  </cols>
  <sheetData>
    <row r="1" spans="2:4" ht="12.75">
      <c r="B1" s="105" t="s">
        <v>50</v>
      </c>
      <c r="C1" s="106"/>
      <c r="D1" s="107"/>
    </row>
    <row r="2" spans="2:4" ht="12.75">
      <c r="B2" s="24" t="s">
        <v>92</v>
      </c>
      <c r="C2" s="21">
        <v>1.1</v>
      </c>
      <c r="D2" s="24" t="s">
        <v>9</v>
      </c>
    </row>
    <row r="3" spans="2:4" ht="12.75">
      <c r="B3" s="25" t="s">
        <v>85</v>
      </c>
      <c r="C3" s="22">
        <v>16</v>
      </c>
      <c r="D3" s="25" t="s">
        <v>0</v>
      </c>
    </row>
    <row r="4" spans="2:4" ht="12.75">
      <c r="B4" s="25" t="s">
        <v>59</v>
      </c>
      <c r="C4" s="22">
        <v>900</v>
      </c>
      <c r="D4" s="25" t="s">
        <v>1</v>
      </c>
    </row>
    <row r="5" spans="2:4" ht="12.75">
      <c r="B5" s="25" t="s">
        <v>60</v>
      </c>
      <c r="C5" s="22">
        <v>1</v>
      </c>
      <c r="D5" s="25" t="s">
        <v>2</v>
      </c>
    </row>
    <row r="6" spans="2:4" ht="12.75">
      <c r="B6" s="25" t="s">
        <v>166</v>
      </c>
      <c r="C6" s="22">
        <v>1722</v>
      </c>
      <c r="D6" s="25" t="s">
        <v>1</v>
      </c>
    </row>
    <row r="7" spans="2:4" ht="12.75">
      <c r="B7" s="25" t="s">
        <v>61</v>
      </c>
      <c r="C7" s="22">
        <v>12</v>
      </c>
      <c r="D7" s="25" t="s">
        <v>3</v>
      </c>
    </row>
    <row r="8" spans="2:4" ht="12.75">
      <c r="B8" s="25" t="s">
        <v>62</v>
      </c>
      <c r="C8" s="22"/>
      <c r="D8" s="25" t="s">
        <v>3</v>
      </c>
    </row>
    <row r="9" spans="2:4" ht="12.75">
      <c r="B9" s="25" t="s">
        <v>165</v>
      </c>
      <c r="C9" s="22">
        <v>1</v>
      </c>
      <c r="D9" s="25"/>
    </row>
    <row r="10" spans="2:4" ht="12.75">
      <c r="B10" s="25" t="s">
        <v>63</v>
      </c>
      <c r="C10" s="22">
        <v>0.1</v>
      </c>
      <c r="D10" s="25" t="s">
        <v>5</v>
      </c>
    </row>
    <row r="11" spans="2:4" ht="12.75">
      <c r="B11" s="25" t="s">
        <v>64</v>
      </c>
      <c r="C11" s="22">
        <v>100</v>
      </c>
      <c r="D11" s="25" t="s">
        <v>3</v>
      </c>
    </row>
    <row r="12" spans="2:4" ht="12.75">
      <c r="B12" s="25" t="s">
        <v>65</v>
      </c>
      <c r="C12" s="22">
        <v>200</v>
      </c>
      <c r="D12" s="25" t="s">
        <v>3</v>
      </c>
    </row>
    <row r="13" spans="2:4" ht="12.75">
      <c r="B13" s="25" t="s">
        <v>8</v>
      </c>
      <c r="C13" s="22">
        <v>1</v>
      </c>
      <c r="D13" s="25"/>
    </row>
    <row r="14" spans="2:4" ht="14.25" customHeight="1">
      <c r="B14" s="25" t="s">
        <v>79</v>
      </c>
      <c r="C14" s="22">
        <v>1</v>
      </c>
      <c r="D14" s="25" t="s">
        <v>82</v>
      </c>
    </row>
    <row r="15" spans="2:4" ht="12.75">
      <c r="B15" s="25" t="s">
        <v>134</v>
      </c>
      <c r="C15" s="22">
        <v>0.5</v>
      </c>
      <c r="D15" s="25" t="s">
        <v>0</v>
      </c>
    </row>
    <row r="16" spans="2:4" ht="12.75">
      <c r="B16" s="25" t="s">
        <v>139</v>
      </c>
      <c r="C16" s="22">
        <v>0</v>
      </c>
      <c r="D16" s="25"/>
    </row>
    <row r="17" spans="2:4" ht="12.75">
      <c r="B17" s="25" t="s">
        <v>75</v>
      </c>
      <c r="C17" s="22">
        <v>10</v>
      </c>
      <c r="D17" s="25" t="s">
        <v>9</v>
      </c>
    </row>
    <row r="18" spans="2:4" ht="12.75">
      <c r="B18" s="25" t="s">
        <v>58</v>
      </c>
      <c r="C18" s="22">
        <v>100</v>
      </c>
      <c r="D18" s="25" t="s">
        <v>9</v>
      </c>
    </row>
    <row r="19" spans="2:4" ht="12.75">
      <c r="B19" s="26" t="s">
        <v>57</v>
      </c>
      <c r="C19" s="39">
        <v>5</v>
      </c>
      <c r="D19" s="26" t="s">
        <v>56</v>
      </c>
    </row>
    <row r="21" spans="2:3" ht="12.75">
      <c r="B21" s="14" t="s">
        <v>47</v>
      </c>
      <c r="C21" s="13"/>
    </row>
    <row r="22" spans="2:3" ht="12.75">
      <c r="B22" s="15" t="s">
        <v>48</v>
      </c>
      <c r="C22" s="13"/>
    </row>
    <row r="24" spans="2:4" ht="12.75">
      <c r="B24" s="16" t="s">
        <v>53</v>
      </c>
      <c r="C24" s="28">
        <f>'throwing calculations'!B20</f>
        <v>2.330204355414155</v>
      </c>
      <c r="D24" s="24" t="s">
        <v>51</v>
      </c>
    </row>
    <row r="25" spans="2:4" ht="12.75">
      <c r="B25" s="17" t="s">
        <v>54</v>
      </c>
      <c r="C25" s="29">
        <f>'throwing calculations'!B21</f>
        <v>0.2767508836896584</v>
      </c>
      <c r="D25" s="25" t="s">
        <v>52</v>
      </c>
    </row>
    <row r="26" spans="2:4" ht="12.75">
      <c r="B26" s="17" t="s">
        <v>55</v>
      </c>
      <c r="C26" s="29">
        <f>'throwing calculations'!B22</f>
        <v>0.6587588543096601</v>
      </c>
      <c r="D26" s="25" t="s">
        <v>5</v>
      </c>
    </row>
    <row r="27" spans="2:4" ht="12.75">
      <c r="B27" s="17" t="s">
        <v>27</v>
      </c>
      <c r="C27" s="29">
        <f>'throwing calculations'!B23</f>
        <v>638.0583498393421</v>
      </c>
      <c r="D27" s="25" t="s">
        <v>9</v>
      </c>
    </row>
    <row r="28" spans="2:4" ht="12.75">
      <c r="B28" s="17" t="s">
        <v>66</v>
      </c>
      <c r="C28" s="29">
        <f>'throwing calculations'!B24</f>
        <v>0.21999999999999983</v>
      </c>
      <c r="D28" s="25" t="s">
        <v>11</v>
      </c>
    </row>
    <row r="29" spans="2:4" ht="12.75">
      <c r="B29" s="17" t="s">
        <v>67</v>
      </c>
      <c r="C29" s="29">
        <f>'throwing calculations'!B25</f>
        <v>0.23753357343671305</v>
      </c>
      <c r="D29" s="25" t="s">
        <v>11</v>
      </c>
    </row>
    <row r="30" spans="2:4" ht="12.75">
      <c r="B30" s="18" t="s">
        <v>93</v>
      </c>
      <c r="C30" s="30">
        <f>'fires per bottle'!B9</f>
        <v>21.883804675135607</v>
      </c>
      <c r="D30" s="26"/>
    </row>
    <row r="31" ht="12.75">
      <c r="B31" s="19">
        <f>IF(calculations!D9&lt;C6,"Warning,valve flow restricted by pipe size.","")</f>
      </c>
    </row>
    <row r="32" ht="12.75">
      <c r="B32" s="19" t="str">
        <f>IF(calculations!D9&lt;C6,"Flow rate must not exceed ","Maximum actuator flow rate is")</f>
        <v>Maximum actuator flow rate is</v>
      </c>
    </row>
    <row r="33" ht="12.75">
      <c r="B33" s="19" t="str">
        <f>CONCATENATE(calculations!D9/C9," litres/min per feed pipe.")</f>
        <v>1722 litres/min per feed pipe.</v>
      </c>
    </row>
  </sheetData>
  <sheetProtection sheet="1" objects="1" scenarios="1"/>
  <mergeCells count="1">
    <mergeCell ref="B1:D1"/>
  </mergeCells>
  <printOptions gridLines="1"/>
  <pageMargins left="0.75" right="0.75" top="1" bottom="1" header="0.5" footer="0.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L5:P16"/>
  <sheetViews>
    <sheetView showGridLines="0" workbookViewId="0" topLeftCell="A1">
      <selection activeCell="A23" sqref="A23"/>
    </sheetView>
  </sheetViews>
  <sheetFormatPr defaultColWidth="9.140625" defaultRowHeight="12.75"/>
  <cols>
    <col min="1" max="12" width="9.140625" style="31" customWidth="1"/>
    <col min="13" max="13" width="9.421875" style="31" customWidth="1"/>
    <col min="14" max="14" width="15.00390625" style="31" customWidth="1"/>
    <col min="15" max="16384" width="9.140625" style="31" customWidth="1"/>
  </cols>
  <sheetData>
    <row r="1" ht="12.75"/>
    <row r="2" ht="12.75"/>
    <row r="3" ht="12.75"/>
    <row r="4" ht="12.75"/>
    <row r="5" spans="12:14" ht="12.75">
      <c r="L5" s="87" t="s">
        <v>140</v>
      </c>
      <c r="M5" s="80"/>
      <c r="N5" s="81"/>
    </row>
    <row r="6" spans="12:14" ht="12.75">
      <c r="L6" s="88" t="s">
        <v>142</v>
      </c>
      <c r="M6" s="82"/>
      <c r="N6" s="83"/>
    </row>
    <row r="7" spans="12:14" ht="12.75">
      <c r="L7" s="84"/>
      <c r="M7" s="85"/>
      <c r="N7" s="86"/>
    </row>
    <row r="8" spans="12:16" ht="12.75">
      <c r="L8" s="68"/>
      <c r="M8" s="69" t="s">
        <v>141</v>
      </c>
      <c r="N8" s="70"/>
      <c r="O8" s="67"/>
      <c r="P8" s="67"/>
    </row>
    <row r="9" spans="12:16" ht="12.75">
      <c r="L9" s="71"/>
      <c r="M9" s="72"/>
      <c r="N9" s="73"/>
      <c r="O9" s="67"/>
      <c r="P9" s="67"/>
    </row>
    <row r="10" spans="12:16" ht="12.75">
      <c r="L10" s="74" t="s">
        <v>95</v>
      </c>
      <c r="M10" s="75" t="s">
        <v>94</v>
      </c>
      <c r="N10" s="73"/>
      <c r="O10" s="67"/>
      <c r="P10" s="67"/>
    </row>
    <row r="11" spans="12:16" ht="12.75">
      <c r="L11" s="74" t="s">
        <v>97</v>
      </c>
      <c r="M11" s="76" t="s">
        <v>96</v>
      </c>
      <c r="N11" s="73"/>
      <c r="O11" s="67"/>
      <c r="P11" s="67"/>
    </row>
    <row r="12" spans="12:16" ht="12.75">
      <c r="L12" s="74" t="s">
        <v>99</v>
      </c>
      <c r="M12" s="76" t="s">
        <v>98</v>
      </c>
      <c r="N12" s="73"/>
      <c r="O12" s="67"/>
      <c r="P12" s="67"/>
    </row>
    <row r="13" spans="12:16" ht="12.75">
      <c r="L13" s="74" t="s">
        <v>101</v>
      </c>
      <c r="M13" s="76" t="s">
        <v>100</v>
      </c>
      <c r="N13" s="73"/>
      <c r="O13" s="67"/>
      <c r="P13" s="67"/>
    </row>
    <row r="14" spans="12:16" ht="12.75">
      <c r="L14" s="74" t="s">
        <v>103</v>
      </c>
      <c r="M14" s="76" t="s">
        <v>102</v>
      </c>
      <c r="N14" s="73"/>
      <c r="O14" s="67"/>
      <c r="P14" s="67"/>
    </row>
    <row r="15" spans="12:16" ht="12.75">
      <c r="L15" s="74" t="s">
        <v>105</v>
      </c>
      <c r="M15" s="76" t="s">
        <v>104</v>
      </c>
      <c r="N15" s="73"/>
      <c r="O15" s="67"/>
      <c r="P15" s="67"/>
    </row>
    <row r="16" spans="12:16" ht="12.75">
      <c r="L16" s="77" t="s">
        <v>107</v>
      </c>
      <c r="M16" s="78" t="s">
        <v>106</v>
      </c>
      <c r="N16" s="79"/>
      <c r="O16" s="67"/>
      <c r="P16" s="67"/>
    </row>
    <row r="17" ht="12.75"/>
    <row r="18" ht="12.75"/>
    <row r="19" ht="12.75"/>
    <row r="20" ht="12.75"/>
    <row r="21" ht="12.75"/>
    <row r="22" ht="12.75"/>
    <row r="23" ht="12.75"/>
    <row r="24" ht="12.75"/>
    <row r="25" ht="12.75"/>
    <row r="26" ht="12.75"/>
    <row r="27" ht="12.75"/>
    <row r="28" ht="12.75"/>
    <row r="29" ht="12.75"/>
    <row r="30" ht="12.75"/>
  </sheetData>
  <printOptions/>
  <pageMargins left="0.75" right="0.75" top="1" bottom="1" header="0.5" footer="0.5"/>
  <pageSetup orientation="portrait" paperSize="9"/>
  <legacyDrawing r:id="rId3"/>
  <oleObjects>
    <oleObject progId="PowerPoint.Slide.8" shapeId="625415" r:id="rId2"/>
  </oleObjects>
</worksheet>
</file>

<file path=xl/worksheets/sheet11.xml><?xml version="1.0" encoding="utf-8"?>
<worksheet xmlns="http://schemas.openxmlformats.org/spreadsheetml/2006/main" xmlns:r="http://schemas.openxmlformats.org/officeDocument/2006/relationships">
  <dimension ref="L5:N16"/>
  <sheetViews>
    <sheetView showGridLines="0" workbookViewId="0" topLeftCell="A1">
      <selection activeCell="N23" sqref="N23"/>
    </sheetView>
  </sheetViews>
  <sheetFormatPr defaultColWidth="9.140625" defaultRowHeight="12.75"/>
  <cols>
    <col min="13" max="13" width="9.28125" style="0" customWidth="1"/>
    <col min="14" max="14" width="14.28125" style="0" customWidth="1"/>
  </cols>
  <sheetData>
    <row r="5" spans="12:14" ht="12.75">
      <c r="L5" s="87" t="s">
        <v>140</v>
      </c>
      <c r="M5" s="80"/>
      <c r="N5" s="81"/>
    </row>
    <row r="6" spans="12:14" ht="12.75">
      <c r="L6" s="88" t="s">
        <v>142</v>
      </c>
      <c r="M6" s="82"/>
      <c r="N6" s="83"/>
    </row>
    <row r="7" spans="12:14" ht="12.75">
      <c r="L7" s="84"/>
      <c r="M7" s="85"/>
      <c r="N7" s="86"/>
    </row>
    <row r="8" spans="12:14" ht="12.75">
      <c r="L8" s="68"/>
      <c r="M8" s="69" t="s">
        <v>141</v>
      </c>
      <c r="N8" s="70"/>
    </row>
    <row r="9" spans="12:14" ht="12.75">
      <c r="L9" s="71"/>
      <c r="M9" s="72"/>
      <c r="N9" s="73"/>
    </row>
    <row r="10" spans="12:14" ht="12.75">
      <c r="L10" s="74" t="s">
        <v>95</v>
      </c>
      <c r="M10" s="75" t="s">
        <v>94</v>
      </c>
      <c r="N10" s="73"/>
    </row>
    <row r="11" spans="12:14" ht="12.75">
      <c r="L11" s="74" t="s">
        <v>97</v>
      </c>
      <c r="M11" s="76" t="s">
        <v>96</v>
      </c>
      <c r="N11" s="73"/>
    </row>
    <row r="12" spans="12:14" ht="12.75">
      <c r="L12" s="74" t="s">
        <v>99</v>
      </c>
      <c r="M12" s="76" t="s">
        <v>98</v>
      </c>
      <c r="N12" s="73"/>
    </row>
    <row r="13" spans="12:14" ht="12.75">
      <c r="L13" s="74" t="s">
        <v>101</v>
      </c>
      <c r="M13" s="76" t="s">
        <v>100</v>
      </c>
      <c r="N13" s="73"/>
    </row>
    <row r="14" spans="12:14" ht="12.75">
      <c r="L14" s="74" t="s">
        <v>103</v>
      </c>
      <c r="M14" s="76" t="s">
        <v>102</v>
      </c>
      <c r="N14" s="73"/>
    </row>
    <row r="15" spans="12:14" ht="12.75">
      <c r="L15" s="74" t="s">
        <v>105</v>
      </c>
      <c r="M15" s="76" t="s">
        <v>104</v>
      </c>
      <c r="N15" s="73"/>
    </row>
    <row r="16" spans="12:14" ht="12.75">
      <c r="L16" s="77" t="s">
        <v>107</v>
      </c>
      <c r="M16" s="78" t="s">
        <v>106</v>
      </c>
      <c r="N16" s="79"/>
    </row>
  </sheetData>
  <sheetProtection sheet="1" objects="1" scenarios="1"/>
  <printOptions/>
  <pageMargins left="0.75" right="0.75" top="1" bottom="1" header="0.5" footer="0.5"/>
  <pageSetup orientation="portrait" paperSize="9"/>
  <legacyDrawing r:id="rId3"/>
  <oleObjects>
    <oleObject progId="PowerPoint.Slide.8" shapeId="630118" r:id="rId2"/>
  </oleObjects>
</worksheet>
</file>

<file path=xl/worksheets/sheet12.xml><?xml version="1.0" encoding="utf-8"?>
<worksheet xmlns="http://schemas.openxmlformats.org/spreadsheetml/2006/main" xmlns:r="http://schemas.openxmlformats.org/officeDocument/2006/relationships">
  <dimension ref="L5:N16"/>
  <sheetViews>
    <sheetView showGridLines="0" workbookViewId="0" topLeftCell="A1">
      <selection activeCell="L22" sqref="L22"/>
    </sheetView>
  </sheetViews>
  <sheetFormatPr defaultColWidth="9.140625" defaultRowHeight="12.75"/>
  <cols>
    <col min="14" max="14" width="13.28125" style="0" customWidth="1"/>
    <col min="15" max="15" width="10.421875" style="0" customWidth="1"/>
  </cols>
  <sheetData>
    <row r="5" spans="12:14" ht="12.75">
      <c r="L5" s="87" t="s">
        <v>140</v>
      </c>
      <c r="M5" s="80"/>
      <c r="N5" s="81"/>
    </row>
    <row r="6" spans="12:14" ht="12.75">
      <c r="L6" s="88" t="s">
        <v>142</v>
      </c>
      <c r="M6" s="82"/>
      <c r="N6" s="83"/>
    </row>
    <row r="7" spans="12:14" ht="12.75">
      <c r="L7" s="84"/>
      <c r="M7" s="85"/>
      <c r="N7" s="86"/>
    </row>
    <row r="8" spans="12:14" ht="12.75">
      <c r="L8" s="68"/>
      <c r="M8" s="69" t="s">
        <v>141</v>
      </c>
      <c r="N8" s="70"/>
    </row>
    <row r="9" spans="12:14" ht="12.75">
      <c r="L9" s="71"/>
      <c r="M9" s="72"/>
      <c r="N9" s="73"/>
    </row>
    <row r="10" spans="12:14" ht="12.75">
      <c r="L10" s="74" t="s">
        <v>95</v>
      </c>
      <c r="M10" s="75" t="s">
        <v>94</v>
      </c>
      <c r="N10" s="73"/>
    </row>
    <row r="11" spans="12:14" ht="12.75">
      <c r="L11" s="74" t="s">
        <v>97</v>
      </c>
      <c r="M11" s="76" t="s">
        <v>96</v>
      </c>
      <c r="N11" s="73"/>
    </row>
    <row r="12" spans="12:14" ht="12.75">
      <c r="L12" s="74" t="s">
        <v>99</v>
      </c>
      <c r="M12" s="76" t="s">
        <v>98</v>
      </c>
      <c r="N12" s="73"/>
    </row>
    <row r="13" spans="12:14" ht="12.75">
      <c r="L13" s="74" t="s">
        <v>101</v>
      </c>
      <c r="M13" s="76" t="s">
        <v>100</v>
      </c>
      <c r="N13" s="73"/>
    </row>
    <row r="14" spans="12:14" ht="12.75">
      <c r="L14" s="74" t="s">
        <v>103</v>
      </c>
      <c r="M14" s="76" t="s">
        <v>102</v>
      </c>
      <c r="N14" s="73"/>
    </row>
    <row r="15" spans="12:14" ht="12.75">
      <c r="L15" s="74" t="s">
        <v>105</v>
      </c>
      <c r="M15" s="76" t="s">
        <v>104</v>
      </c>
      <c r="N15" s="73"/>
    </row>
    <row r="16" spans="12:14" ht="12.75">
      <c r="L16" s="77" t="s">
        <v>107</v>
      </c>
      <c r="M16" s="78" t="s">
        <v>106</v>
      </c>
      <c r="N16" s="79"/>
    </row>
  </sheetData>
  <sheetProtection sheet="1" objects="1" scenarios="1"/>
  <printOptions/>
  <pageMargins left="0.75" right="0.75" top="1" bottom="1" header="0.5" footer="0.5"/>
  <pageSetup orientation="portrait" paperSize="9"/>
  <legacyDrawing r:id="rId3"/>
  <oleObjects>
    <oleObject progId="PowerPoint.Slide.8" shapeId="633553" r:id="rId2"/>
  </oleObjects>
</worksheet>
</file>

<file path=xl/worksheets/sheet13.xml><?xml version="1.0" encoding="utf-8"?>
<worksheet xmlns="http://schemas.openxmlformats.org/spreadsheetml/2006/main" xmlns:r="http://schemas.openxmlformats.org/officeDocument/2006/relationships">
  <dimension ref="A2:C25"/>
  <sheetViews>
    <sheetView workbookViewId="0" topLeftCell="A1">
      <selection activeCell="B2" sqref="B2"/>
    </sheetView>
  </sheetViews>
  <sheetFormatPr defaultColWidth="9.140625" defaultRowHeight="12.75"/>
  <cols>
    <col min="1" max="16384" width="9.140625" style="31" customWidth="1"/>
  </cols>
  <sheetData>
    <row r="2" spans="1:2" ht="12.75">
      <c r="A2" s="31" t="s">
        <v>116</v>
      </c>
      <c r="B2" s="103">
        <v>2</v>
      </c>
    </row>
    <row r="3" ht="12.75">
      <c r="A3" s="31" t="s">
        <v>117</v>
      </c>
    </row>
    <row r="4" ht="12.75">
      <c r="A4" s="31" t="s">
        <v>118</v>
      </c>
    </row>
    <row r="5" ht="12.75">
      <c r="A5" s="31" t="s">
        <v>119</v>
      </c>
    </row>
    <row r="8" spans="1:2" ht="12.75">
      <c r="A8" s="31">
        <f>IF(OR(B2=2,B2=4),-1,1)</f>
        <v>-1</v>
      </c>
      <c r="B8" s="38" t="s">
        <v>128</v>
      </c>
    </row>
    <row r="9" spans="1:2" ht="12.75">
      <c r="A9" s="31">
        <f>IF(OR($B$2=3,$B$2=4),-1,1)</f>
        <v>1</v>
      </c>
      <c r="B9" s="38" t="s">
        <v>129</v>
      </c>
    </row>
    <row r="11" spans="1:3" ht="12.75">
      <c r="A11" s="112" t="s">
        <v>120</v>
      </c>
      <c r="B11" s="113"/>
      <c r="C11" s="114"/>
    </row>
    <row r="12" spans="1:3" ht="12.75">
      <c r="A12" s="32" t="s">
        <v>121</v>
      </c>
      <c r="B12" s="35">
        <f>SQRT((AE^2)+(ED^2))</f>
        <v>0.6220128616033594</v>
      </c>
      <c r="C12" s="32" t="s">
        <v>5</v>
      </c>
    </row>
    <row r="13" spans="1:3" ht="12.75">
      <c r="A13" s="33" t="s">
        <v>122</v>
      </c>
      <c r="B13" s="36">
        <f>ACOS(((AD^2)+(AB^2)-(DB^2))/(2*(AD)*(AB)))</f>
        <v>0.9407080173373564</v>
      </c>
      <c r="C13" s="33" t="s">
        <v>123</v>
      </c>
    </row>
    <row r="14" spans="1:3" ht="12.75">
      <c r="A14" s="33" t="s">
        <v>124</v>
      </c>
      <c r="B14" s="36">
        <f>ACOS(AE/AD)</f>
        <v>0.933725997519213</v>
      </c>
      <c r="C14" s="33" t="s">
        <v>123</v>
      </c>
    </row>
    <row r="15" spans="1:3" ht="12.75">
      <c r="A15" s="33" t="s">
        <v>125</v>
      </c>
      <c r="B15" s="36">
        <f>ACOS(((AB^2)+(AC^2)-(BC^2))/(2*(AB)*(AC)))</f>
        <v>0.7425040749582067</v>
      </c>
      <c r="C15" s="33" t="s">
        <v>123</v>
      </c>
    </row>
    <row r="16" spans="1:3" ht="12.75">
      <c r="A16" s="33" t="s">
        <v>126</v>
      </c>
      <c r="B16" s="36">
        <f>(PI()/2)-EAD-DAB-BAC</f>
        <v>-1.0461417630198797</v>
      </c>
      <c r="C16" s="33" t="s">
        <v>123</v>
      </c>
    </row>
    <row r="17" spans="1:3" ht="12.75">
      <c r="A17" s="33" t="s">
        <v>127</v>
      </c>
      <c r="B17" s="36">
        <f>-(AC*SIN((PI()/2)-(ACOS(AE/AD))-(ACOS(((AD^2)+(AB^2)-(DB^2))/(2*(AD)*(AB))))-(ACOS(((AB^2)+(AC^2)-(BC^2))/(2*(AB)*(AC))))))</f>
        <v>0.7789473244078586</v>
      </c>
      <c r="C17" s="33" t="s">
        <v>5</v>
      </c>
    </row>
    <row r="18" spans="1:3" ht="12.75">
      <c r="A18" s="34" t="s">
        <v>153</v>
      </c>
      <c r="B18" s="37">
        <f>(PI()/2)-EAD</f>
        <v>0.6370703292756835</v>
      </c>
      <c r="C18" s="34" t="s">
        <v>123</v>
      </c>
    </row>
    <row r="20" spans="1:2" ht="12.75">
      <c r="A20" s="31">
        <f>IF(OR($B$2=3,$B$2=4),1,-1)</f>
        <v>-1</v>
      </c>
      <c r="B20" s="38" t="s">
        <v>154</v>
      </c>
    </row>
    <row r="21" spans="1:2" ht="12.75">
      <c r="A21" s="31">
        <f>-1</f>
        <v>-1</v>
      </c>
      <c r="B21" s="38" t="s">
        <v>155</v>
      </c>
    </row>
    <row r="22" spans="1:2" ht="12.75">
      <c r="A22" s="31">
        <f>IF(OR($B$2=2,$B$2=4),1,-1)</f>
        <v>1</v>
      </c>
      <c r="B22" s="38" t="s">
        <v>156</v>
      </c>
    </row>
    <row r="24" spans="1:2" ht="12.75">
      <c r="A24" s="31">
        <f>IF(OR($B$2=1,$B$2=2),-1,1)</f>
        <v>-1</v>
      </c>
      <c r="B24" s="38" t="s">
        <v>157</v>
      </c>
    </row>
    <row r="25" spans="1:2" ht="12.75">
      <c r="A25" s="31">
        <f>IF(OR($B$2=1,$B$2=2),1,0)</f>
        <v>1</v>
      </c>
      <c r="B25" s="38" t="s">
        <v>158</v>
      </c>
    </row>
  </sheetData>
  <sheetProtection/>
  <mergeCells count="1">
    <mergeCell ref="A11: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9"/>
  <sheetViews>
    <sheetView workbookViewId="0" topLeftCell="A1">
      <selection activeCell="B8" sqref="B8"/>
    </sheetView>
  </sheetViews>
  <sheetFormatPr defaultColWidth="9.140625" defaultRowHeight="12.75"/>
  <cols>
    <col min="1" max="1" width="29.421875" style="0" customWidth="1"/>
    <col min="2" max="2" width="9.00390625" style="0" customWidth="1"/>
    <col min="3" max="3" width="9.57421875" style="0" bestFit="1" customWidth="1"/>
    <col min="4" max="4" width="10.28125" style="0" bestFit="1" customWidth="1"/>
    <col min="5" max="5" width="9.28125" style="0" bestFit="1" customWidth="1"/>
  </cols>
  <sheetData>
    <row r="2" spans="1:4" ht="12.75">
      <c r="A2" t="s">
        <v>84</v>
      </c>
      <c r="B2">
        <v>69</v>
      </c>
      <c r="C2" t="s">
        <v>0</v>
      </c>
      <c r="D2">
        <f>B2*14.5</f>
        <v>1000.5</v>
      </c>
    </row>
    <row r="3" spans="1:3" ht="12.75">
      <c r="A3" t="s">
        <v>83</v>
      </c>
      <c r="B3">
        <f>'Pneumatic components'!C2</f>
        <v>1.1</v>
      </c>
      <c r="C3" t="s">
        <v>77</v>
      </c>
    </row>
    <row r="4" spans="1:3" ht="12.75">
      <c r="A4" t="s">
        <v>87</v>
      </c>
      <c r="B4">
        <f>B3/2*3</f>
        <v>1.6500000000000001</v>
      </c>
      <c r="C4" t="s">
        <v>2</v>
      </c>
    </row>
    <row r="5" spans="1:3" ht="12.75">
      <c r="A5" t="s">
        <v>86</v>
      </c>
      <c r="B5">
        <f>B3*500</f>
        <v>550</v>
      </c>
      <c r="C5" t="s">
        <v>2</v>
      </c>
    </row>
    <row r="6" spans="1:3" ht="12.75">
      <c r="A6" t="s">
        <v>89</v>
      </c>
      <c r="B6" s="1">
        <f>(no_of_rams*(ram_csa*stroke*1000))*Pb</f>
        <v>25.13274122871835</v>
      </c>
      <c r="C6" t="s">
        <v>2</v>
      </c>
    </row>
    <row r="7" spans="1:2" ht="12.75">
      <c r="A7" t="s">
        <v>88</v>
      </c>
      <c r="B7">
        <f>'Pneumatic components'!C14</f>
        <v>1</v>
      </c>
    </row>
    <row r="8" spans="1:2" ht="12.75">
      <c r="A8" t="s">
        <v>90</v>
      </c>
      <c r="B8" s="1">
        <f>B6*B7</f>
        <v>25.13274122871835</v>
      </c>
    </row>
    <row r="9" spans="1:2" ht="12.75">
      <c r="A9" t="s">
        <v>91</v>
      </c>
      <c r="B9" s="27">
        <f>B5/B8</f>
        <v>21.883804675135607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N58"/>
  <sheetViews>
    <sheetView showGridLines="0" zoomScale="90" zoomScaleNormal="90" workbookViewId="0" topLeftCell="A1">
      <selection activeCell="C7" sqref="C7"/>
    </sheetView>
  </sheetViews>
  <sheetFormatPr defaultColWidth="9.140625" defaultRowHeight="12.75"/>
  <cols>
    <col min="1" max="1" width="25.140625" style="48" customWidth="1"/>
    <col min="2" max="2" width="11.140625" style="48" customWidth="1"/>
    <col min="3" max="12" width="11.57421875" style="48" bestFit="1" customWidth="1"/>
    <col min="13" max="16384" width="9.140625" style="48" customWidth="1"/>
  </cols>
  <sheetData>
    <row r="1" spans="5:8" ht="12.75">
      <c r="E1" s="49"/>
      <c r="F1" s="49"/>
      <c r="G1" s="49"/>
      <c r="H1" s="49"/>
    </row>
    <row r="2" spans="2:8" ht="12.75">
      <c r="B2" s="108" t="s">
        <v>143</v>
      </c>
      <c r="C2" s="109"/>
      <c r="D2" s="110"/>
      <c r="E2" s="49"/>
      <c r="F2" s="111"/>
      <c r="G2" s="111"/>
      <c r="H2" s="111"/>
    </row>
    <row r="3" spans="1:8" ht="12.75">
      <c r="A3" s="50" t="s">
        <v>94</v>
      </c>
      <c r="B3" s="51" t="s">
        <v>95</v>
      </c>
      <c r="C3" s="101">
        <v>0.5</v>
      </c>
      <c r="D3" s="52" t="s">
        <v>5</v>
      </c>
      <c r="E3" s="49"/>
      <c r="F3" s="53"/>
      <c r="G3" s="54"/>
      <c r="H3" s="53"/>
    </row>
    <row r="4" spans="1:8" ht="12.75">
      <c r="A4" s="55" t="s">
        <v>96</v>
      </c>
      <c r="B4" s="56" t="s">
        <v>97</v>
      </c>
      <c r="C4" s="100">
        <v>0.63</v>
      </c>
      <c r="D4" s="57" t="s">
        <v>5</v>
      </c>
      <c r="E4" s="49"/>
      <c r="F4" s="53"/>
      <c r="G4" s="54"/>
      <c r="H4" s="53"/>
    </row>
    <row r="5" spans="1:8" ht="12.75">
      <c r="A5" s="55" t="s">
        <v>98</v>
      </c>
      <c r="B5" s="56" t="s">
        <v>99</v>
      </c>
      <c r="C5" s="100">
        <v>0.9</v>
      </c>
      <c r="D5" s="57" t="s">
        <v>5</v>
      </c>
      <c r="E5" s="49"/>
      <c r="F5" s="53"/>
      <c r="G5" s="54"/>
      <c r="H5" s="53"/>
    </row>
    <row r="6" spans="1:8" ht="12.75">
      <c r="A6" s="55" t="s">
        <v>100</v>
      </c>
      <c r="B6" s="56" t="s">
        <v>101</v>
      </c>
      <c r="C6" s="100">
        <v>0.5</v>
      </c>
      <c r="D6" s="57" t="s">
        <v>5</v>
      </c>
      <c r="E6" s="49"/>
      <c r="F6" s="53"/>
      <c r="G6" s="54"/>
      <c r="H6" s="53"/>
    </row>
    <row r="7" spans="1:8" ht="12.75">
      <c r="A7" s="55" t="s">
        <v>102</v>
      </c>
      <c r="B7" s="56" t="s">
        <v>103</v>
      </c>
      <c r="C7" s="100">
        <v>0.37</v>
      </c>
      <c r="D7" s="57" t="s">
        <v>5</v>
      </c>
      <c r="E7" s="49"/>
      <c r="F7" s="53"/>
      <c r="G7" s="54"/>
      <c r="H7" s="53"/>
    </row>
    <row r="8" spans="1:8" ht="12.75">
      <c r="A8" s="55" t="s">
        <v>104</v>
      </c>
      <c r="B8" s="56" t="s">
        <v>105</v>
      </c>
      <c r="C8" s="100">
        <v>0.52</v>
      </c>
      <c r="D8" s="57" t="s">
        <v>5</v>
      </c>
      <c r="E8" s="49"/>
      <c r="F8" s="53"/>
      <c r="G8" s="54"/>
      <c r="H8" s="53"/>
    </row>
    <row r="9" spans="1:11" ht="12.75">
      <c r="A9" s="55" t="s">
        <v>106</v>
      </c>
      <c r="B9" s="56" t="s">
        <v>107</v>
      </c>
      <c r="C9" s="89">
        <f>DB+stroke</f>
        <v>0.72</v>
      </c>
      <c r="D9" s="57" t="s">
        <v>5</v>
      </c>
      <c r="E9" s="49"/>
      <c r="F9" s="53"/>
      <c r="G9" s="54"/>
      <c r="H9" s="53"/>
      <c r="I9" s="58"/>
      <c r="K9" s="58"/>
    </row>
    <row r="10" spans="1:12" ht="12.75">
      <c r="A10" s="59" t="s">
        <v>108</v>
      </c>
      <c r="B10" s="60" t="s">
        <v>109</v>
      </c>
      <c r="C10" s="47">
        <f>(no_of_rams*Pb*14.5/2.2/(0.0254^2)*ram_csa)</f>
        <v>1283.7715655327784</v>
      </c>
      <c r="D10" s="61" t="s">
        <v>9</v>
      </c>
      <c r="E10" s="62">
        <f>IF('misc calculations'!$B$2=1,"           ^^^^^^^^^^","")</f>
      </c>
      <c r="F10" s="53"/>
      <c r="G10" s="62" t="str">
        <f>IF('misc calculations'!$B$2=2,"              ^^^^^^^^^^","")</f>
        <v>              ^^^^^^^^^^</v>
      </c>
      <c r="H10" s="53"/>
      <c r="J10" s="62">
        <f>IF('misc calculations'!$B$2=3,"^^^^^^^^^^","")</f>
      </c>
      <c r="L10" s="62">
        <f>IF('misc calculations'!$B$2=4,"^^^^^^^^^^^^^","")</f>
      </c>
    </row>
    <row r="11" spans="1:4" ht="12.75">
      <c r="A11" s="63"/>
      <c r="B11" s="63"/>
      <c r="C11" s="63"/>
      <c r="D11" s="63"/>
    </row>
    <row r="12" spans="1:13" ht="12.75">
      <c r="A12" s="65" t="s">
        <v>144</v>
      </c>
      <c r="B12" s="64">
        <f aca="true" t="shared" si="0" ref="B12:L12">DEGREES(B13)</f>
        <v>25.14519173932688</v>
      </c>
      <c r="C12" s="64">
        <f t="shared" si="0"/>
        <v>22.7636817165142</v>
      </c>
      <c r="D12" s="64">
        <f t="shared" si="0"/>
        <v>20.360224840359898</v>
      </c>
      <c r="E12" s="64">
        <f t="shared" si="0"/>
        <v>17.932443025361813</v>
      </c>
      <c r="F12" s="64">
        <f t="shared" si="0"/>
        <v>15.477855950861384</v>
      </c>
      <c r="G12" s="64">
        <f t="shared" si="0"/>
        <v>12.993846659178441</v>
      </c>
      <c r="H12" s="64">
        <f t="shared" si="0"/>
        <v>10.47762516661872</v>
      </c>
      <c r="I12" s="64">
        <f t="shared" si="0"/>
        <v>7.926188601432859</v>
      </c>
      <c r="J12" s="64">
        <f t="shared" si="0"/>
        <v>5.3362762337104215</v>
      </c>
      <c r="K12" s="64">
        <f t="shared" si="0"/>
        <v>2.704317480902355</v>
      </c>
      <c r="L12" s="64">
        <f t="shared" si="0"/>
        <v>0.026370530881936922</v>
      </c>
      <c r="M12" s="64">
        <f>B12-L12</f>
        <v>25.118821208444942</v>
      </c>
    </row>
    <row r="13" spans="1:14" ht="12.75">
      <c r="A13" s="53" t="s">
        <v>110</v>
      </c>
      <c r="B13" s="64">
        <f aca="true" t="shared" si="1" ref="B13:L13">((PI()/2)+(EADsign*(ASIN(ED/AD)))+(DABsign*(ACOS(((AD^2)+(AB^2)-(B14^2))/(2*AD*AB))))+(BACsign*(ACOS(((AB^2)+(AC^2)-(BC^2))/(2*AB*AC)))))</f>
        <v>0.4388663868965338</v>
      </c>
      <c r="C13" s="64">
        <f t="shared" si="1"/>
        <v>0.3973011958292072</v>
      </c>
      <c r="D13" s="64">
        <f t="shared" si="1"/>
        <v>0.3553529599106171</v>
      </c>
      <c r="E13" s="64">
        <f t="shared" si="1"/>
        <v>0.31298017371885667</v>
      </c>
      <c r="F13" s="64">
        <f t="shared" si="1"/>
        <v>0.2701395474919288</v>
      </c>
      <c r="G13" s="64">
        <f t="shared" si="1"/>
        <v>0.22678540670192926</v>
      </c>
      <c r="H13" s="64">
        <f t="shared" si="1"/>
        <v>0.18286905694731614</v>
      </c>
      <c r="I13" s="64">
        <f t="shared" si="1"/>
        <v>0.13833808822904792</v>
      </c>
      <c r="J13" s="64">
        <f t="shared" si="1"/>
        <v>0.09313559007416927</v>
      </c>
      <c r="K13" s="64">
        <f t="shared" si="1"/>
        <v>0.04719924406098497</v>
      </c>
      <c r="L13" s="64">
        <f t="shared" si="1"/>
        <v>0.00046025258938864333</v>
      </c>
      <c r="N13" s="102"/>
    </row>
    <row r="14" spans="1:12" ht="12.75">
      <c r="A14" s="48" t="s">
        <v>111</v>
      </c>
      <c r="B14" s="65">
        <f>DB</f>
        <v>0.52</v>
      </c>
      <c r="C14" s="48">
        <f>B14+((stroke)/10)</f>
        <v>0.54</v>
      </c>
      <c r="D14" s="48">
        <f aca="true" t="shared" si="2" ref="D14:L14">C14+((stroke)/10)</f>
        <v>0.56</v>
      </c>
      <c r="E14" s="48">
        <f t="shared" si="2"/>
        <v>0.5800000000000001</v>
      </c>
      <c r="F14" s="48">
        <f t="shared" si="2"/>
        <v>0.6000000000000001</v>
      </c>
      <c r="G14" s="48">
        <f t="shared" si="2"/>
        <v>0.6200000000000001</v>
      </c>
      <c r="H14" s="48">
        <f t="shared" si="2"/>
        <v>0.6400000000000001</v>
      </c>
      <c r="I14" s="48">
        <f t="shared" si="2"/>
        <v>0.6600000000000001</v>
      </c>
      <c r="J14" s="48">
        <f t="shared" si="2"/>
        <v>0.6800000000000002</v>
      </c>
      <c r="K14" s="48">
        <f t="shared" si="2"/>
        <v>0.7000000000000002</v>
      </c>
      <c r="L14" s="48">
        <f t="shared" si="2"/>
        <v>0.7200000000000002</v>
      </c>
    </row>
    <row r="15" spans="1:12" ht="12.75">
      <c r="A15" s="48" t="s">
        <v>112</v>
      </c>
      <c r="B15" s="58">
        <f aca="true" t="shared" si="3" ref="B15:L15">-(B55+Minimum_flipper_tip_height)</f>
        <v>0</v>
      </c>
      <c r="C15" s="58">
        <f t="shared" si="3"/>
        <v>0.03418415042397149</v>
      </c>
      <c r="D15" s="58">
        <f t="shared" si="3"/>
        <v>0.06929303225738304</v>
      </c>
      <c r="E15" s="58">
        <f t="shared" si="3"/>
        <v>0.10531634059926509</v>
      </c>
      <c r="F15" s="58">
        <f t="shared" si="3"/>
        <v>0.1422428646234166</v>
      </c>
      <c r="G15" s="58">
        <f t="shared" si="3"/>
        <v>0.18006042934673028</v>
      </c>
      <c r="H15" s="58">
        <f t="shared" si="3"/>
        <v>0.2187558152695913</v>
      </c>
      <c r="I15" s="58">
        <f t="shared" si="3"/>
        <v>0.25831465396713893</v>
      </c>
      <c r="J15" s="58">
        <f t="shared" si="3"/>
        <v>0.29872129636495415</v>
      </c>
      <c r="K15" s="58">
        <f t="shared" si="3"/>
        <v>0.3399586488735391</v>
      </c>
      <c r="L15" s="58">
        <f t="shared" si="3"/>
        <v>0.38200797062000225</v>
      </c>
    </row>
    <row r="16" spans="1:12" ht="12.75">
      <c r="A16" s="48" t="s">
        <v>113</v>
      </c>
      <c r="B16" s="58">
        <f>B56</f>
        <v>0.8147105391032639</v>
      </c>
      <c r="C16" s="58">
        <f aca="true" t="shared" si="4" ref="C16:L16">C56</f>
        <v>0.8298977420532787</v>
      </c>
      <c r="D16" s="58">
        <f t="shared" si="4"/>
        <v>0.8437713704561925</v>
      </c>
      <c r="E16" s="58">
        <f t="shared" si="4"/>
        <v>0.8562781930130936</v>
      </c>
      <c r="F16" s="58">
        <f t="shared" si="4"/>
        <v>0.8673602987511049</v>
      </c>
      <c r="G16" s="58">
        <f t="shared" si="4"/>
        <v>0.8769547962201317</v>
      </c>
      <c r="H16" s="58">
        <f t="shared" si="4"/>
        <v>0.8849933983849536</v>
      </c>
      <c r="I16" s="58">
        <f t="shared" si="4"/>
        <v>0.891401883288374</v>
      </c>
      <c r="J16" s="58">
        <f t="shared" si="4"/>
        <v>0.8960994136122526</v>
      </c>
      <c r="K16" s="58">
        <f t="shared" si="4"/>
        <v>0.8989976902089541</v>
      </c>
      <c r="L16" s="58">
        <f t="shared" si="4"/>
        <v>0.899999904675401</v>
      </c>
    </row>
    <row r="17" spans="1:12" ht="12.75">
      <c r="A17" s="48" t="s">
        <v>114</v>
      </c>
      <c r="B17" s="58">
        <f aca="true" t="shared" si="5" ref="B17:L17">AD*(SIN(ACOS(((AD^2)+(B14^2)-(AB^2))/(2*(AD)*(B14)))))</f>
        <v>0.48324148004133954</v>
      </c>
      <c r="C17" s="58">
        <f t="shared" si="5"/>
        <v>0.4790428897207889</v>
      </c>
      <c r="D17" s="58">
        <f t="shared" si="5"/>
        <v>0.4744568507805014</v>
      </c>
      <c r="E17" s="58">
        <f t="shared" si="5"/>
        <v>0.46949114021163124</v>
      </c>
      <c r="F17" s="58">
        <f t="shared" si="5"/>
        <v>0.4641497528336684</v>
      </c>
      <c r="G17" s="58">
        <f t="shared" si="5"/>
        <v>0.4584333405540326</v>
      </c>
      <c r="H17" s="58">
        <f t="shared" si="5"/>
        <v>0.45233950640280607</v>
      </c>
      <c r="I17" s="58">
        <f t="shared" si="5"/>
        <v>0.4458629788552557</v>
      </c>
      <c r="J17" s="58">
        <f t="shared" si="5"/>
        <v>0.4389956823549608</v>
      </c>
      <c r="K17" s="58">
        <f t="shared" si="5"/>
        <v>0.43172671226324705</v>
      </c>
      <c r="L17" s="58">
        <f t="shared" si="5"/>
        <v>0.42404221574393347</v>
      </c>
    </row>
    <row r="18" spans="1:12" ht="12.75">
      <c r="A18" s="48" t="s">
        <v>115</v>
      </c>
      <c r="B18" s="58">
        <f aca="true" t="shared" si="6" ref="B18:L18">RamForce*(B17/AC)*(SIN((PI()/2)-B13))</f>
        <v>623.9794306426927</v>
      </c>
      <c r="C18" s="58">
        <f t="shared" si="6"/>
        <v>630.088734383161</v>
      </c>
      <c r="D18" s="58">
        <f t="shared" si="6"/>
        <v>634.4892095946528</v>
      </c>
      <c r="E18" s="58">
        <f t="shared" si="6"/>
        <v>637.1548867135629</v>
      </c>
      <c r="F18" s="58">
        <f t="shared" si="6"/>
        <v>638.0583498393421</v>
      </c>
      <c r="G18" s="58">
        <f t="shared" si="6"/>
        <v>637.1711978554579</v>
      </c>
      <c r="H18" s="58">
        <f t="shared" si="6"/>
        <v>634.4644372249992</v>
      </c>
      <c r="I18" s="58">
        <f t="shared" si="6"/>
        <v>629.9088264999492</v>
      </c>
      <c r="J18" s="58">
        <f t="shared" si="6"/>
        <v>623.4751886521747</v>
      </c>
      <c r="K18" s="58">
        <f t="shared" si="6"/>
        <v>615.1347048193834</v>
      </c>
      <c r="L18" s="58">
        <f t="shared" si="6"/>
        <v>604.8592016662341</v>
      </c>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spans="1:14" ht="12.75">
      <c r="A40" s="65" t="s">
        <v>130</v>
      </c>
      <c r="B40" s="48">
        <f>-(AC*SIN(((PI()/2)+(EADsign*(ASIN(ED/AD)))+(DABsign*(ACOS(((AD^2)+(AB^2)-(B14^2))/(2*AD*AB))))+(BACsign*(ACOS(((AB^2)+(AC^2)-(BC^2))/(2*AB*AC)))))))</f>
        <v>-0.38242219793582755</v>
      </c>
      <c r="C40" s="65" t="s">
        <v>5</v>
      </c>
      <c r="D40" s="103">
        <v>1</v>
      </c>
      <c r="E40" s="90">
        <f>INDEX(B43:L43,1,$D$40)</f>
        <v>0.543842478843942</v>
      </c>
      <c r="F40" s="91">
        <f>INDEX(B45:L45,1,$D$40)</f>
        <v>-0.651</v>
      </c>
      <c r="G40" s="94">
        <f>INDEX(B47:L47,1,$D$40)</f>
        <v>-0.6795710552524032</v>
      </c>
      <c r="H40" s="98">
        <f>E40</f>
        <v>0.543842478843942</v>
      </c>
      <c r="I40" s="95">
        <f>INDEX(B49:L49,1,$D$40)</f>
        <v>0.2</v>
      </c>
      <c r="K40" s="48">
        <f>L40/10</f>
        <v>2.3</v>
      </c>
      <c r="L40" s="103">
        <v>23</v>
      </c>
      <c r="M40" s="48">
        <f>(N40-25)/10</f>
        <v>0.2</v>
      </c>
      <c r="N40" s="103">
        <v>27</v>
      </c>
    </row>
    <row r="41" spans="1:14" ht="12.75">
      <c r="A41" s="65" t="s">
        <v>131</v>
      </c>
      <c r="B41" s="66">
        <f>(-(AC*SIN((PI()/2)-(EDsign*(ACOS(AE/AD)))-(ACOS(((AD^2)+(AB^2)-((DB+stroke)^2))/(2*(AD)*(AB))))-(BGsign*(ACOS(((AB^2)+(AC^2)-(BC^2))/(2*(AB)*(AC))))))))-Minimum_flipper_tip_height</f>
        <v>0.38200797062000164</v>
      </c>
      <c r="C41" s="65" t="s">
        <v>5</v>
      </c>
      <c r="D41" s="65" t="s">
        <v>163</v>
      </c>
      <c r="E41" s="92">
        <f>INDEX(B44:L44,1,$D$40)</f>
        <v>0.6973934343445168</v>
      </c>
      <c r="F41" s="93">
        <f>INDEX(B46:L46,1,$D$40)</f>
        <v>0.7499999999999999</v>
      </c>
      <c r="G41" s="96">
        <f>INDEX(B48:L48,1,$D$40)</f>
        <v>1.4738342399375068</v>
      </c>
      <c r="H41" s="99">
        <f>E41</f>
        <v>0.6973934343445168</v>
      </c>
      <c r="I41" s="97">
        <f>INDEX(B50:L50,1,$D$40)</f>
        <v>-0.4</v>
      </c>
      <c r="M41" s="48">
        <f>(N41-25)/10</f>
        <v>-0.4</v>
      </c>
      <c r="N41" s="103">
        <v>21</v>
      </c>
    </row>
    <row r="42" spans="1:3" ht="12.75">
      <c r="A42" s="65"/>
      <c r="C42" s="65"/>
    </row>
    <row r="43" spans="1:12" ht="12.75">
      <c r="A43" s="65" t="s">
        <v>147</v>
      </c>
      <c r="B43" s="58">
        <f>((B54-AE)*ani_mag)+y_offset</f>
        <v>0.543842478843942</v>
      </c>
      <c r="C43" s="58">
        <f aca="true" t="shared" si="7" ref="C43:L43">((C54-AE)*ani_mag)+y_offset</f>
        <v>0.5891457340827344</v>
      </c>
      <c r="D43" s="58">
        <f t="shared" si="7"/>
        <v>0.6341847038062625</v>
      </c>
      <c r="E43" s="58">
        <f t="shared" si="7"/>
        <v>0.6789036973924998</v>
      </c>
      <c r="F43" s="58">
        <f t="shared" si="7"/>
        <v>0.7232421283412542</v>
      </c>
      <c r="G43" s="58">
        <f t="shared" si="7"/>
        <v>0.767134199573599</v>
      </c>
      <c r="H43" s="58">
        <f t="shared" si="7"/>
        <v>0.810508469145685</v>
      </c>
      <c r="I43" s="58">
        <f t="shared" si="7"/>
        <v>0.8532872859941569</v>
      </c>
      <c r="J43" s="58">
        <f t="shared" si="7"/>
        <v>0.8953860780604277</v>
      </c>
      <c r="K43" s="58">
        <f t="shared" si="7"/>
        <v>0.9367124667146915</v>
      </c>
      <c r="L43" s="58">
        <f t="shared" si="7"/>
        <v>0.9771651709381677</v>
      </c>
    </row>
    <row r="44" spans="1:12" ht="12.75">
      <c r="A44" s="65" t="s">
        <v>148</v>
      </c>
      <c r="B44" s="58">
        <f>(((EDsign*ED)+B53)*ani_mag)+x_offset</f>
        <v>0.6973934343445168</v>
      </c>
      <c r="C44" s="58">
        <f aca="true" t="shared" si="8" ref="C44:L44">(((EDsign*ED)+C53)*ani_mag)+x_offset</f>
        <v>0.6821578432212237</v>
      </c>
      <c r="D44" s="58">
        <f t="shared" si="8"/>
        <v>0.6648866808166344</v>
      </c>
      <c r="E44" s="58">
        <f t="shared" si="8"/>
        <v>0.6455387360704498</v>
      </c>
      <c r="F44" s="58">
        <f t="shared" si="8"/>
        <v>0.6240691749725277</v>
      </c>
      <c r="G44" s="58">
        <f t="shared" si="8"/>
        <v>0.6004293076844632</v>
      </c>
      <c r="H44" s="58">
        <f t="shared" si="8"/>
        <v>0.5745662671678066</v>
      </c>
      <c r="I44" s="58">
        <f t="shared" si="8"/>
        <v>0.5464225916356755</v>
      </c>
      <c r="J44" s="58">
        <f t="shared" si="8"/>
        <v>0.5159356977647164</v>
      </c>
      <c r="K44" s="58">
        <f t="shared" si="8"/>
        <v>0.48303722536887117</v>
      </c>
      <c r="L44" s="58">
        <f t="shared" si="8"/>
        <v>0.44765222649424374</v>
      </c>
    </row>
    <row r="45" spans="1:12" ht="12.75">
      <c r="A45" s="65" t="s">
        <v>145</v>
      </c>
      <c r="B45" s="48">
        <f>((-AE)*ani_mag)+y_offset</f>
        <v>-0.651</v>
      </c>
      <c r="C45" s="48">
        <f aca="true" t="shared" si="9" ref="C45:L45">((-AE)*ani_mag)+y_offset</f>
        <v>-0.651</v>
      </c>
      <c r="D45" s="48">
        <f t="shared" si="9"/>
        <v>-0.651</v>
      </c>
      <c r="E45" s="48">
        <f t="shared" si="9"/>
        <v>-0.651</v>
      </c>
      <c r="F45" s="48">
        <f t="shared" si="9"/>
        <v>-0.651</v>
      </c>
      <c r="G45" s="48">
        <f t="shared" si="9"/>
        <v>-0.651</v>
      </c>
      <c r="H45" s="48">
        <f t="shared" si="9"/>
        <v>-0.651</v>
      </c>
      <c r="I45" s="48">
        <f t="shared" si="9"/>
        <v>-0.651</v>
      </c>
      <c r="J45" s="48">
        <f t="shared" si="9"/>
        <v>-0.651</v>
      </c>
      <c r="K45" s="48">
        <f t="shared" si="9"/>
        <v>-0.651</v>
      </c>
      <c r="L45" s="48">
        <f t="shared" si="9"/>
        <v>-0.651</v>
      </c>
    </row>
    <row r="46" spans="1:12" ht="12.75">
      <c r="A46" s="65" t="s">
        <v>146</v>
      </c>
      <c r="B46" s="48">
        <f>((ED*(EDsign))*ani_mag)+x_offset</f>
        <v>0.7499999999999999</v>
      </c>
      <c r="C46" s="48">
        <f aca="true" t="shared" si="10" ref="C46:L46">((ED*(EDsign))*ani_mag)+x_offset</f>
        <v>0.7499999999999999</v>
      </c>
      <c r="D46" s="48">
        <f t="shared" si="10"/>
        <v>0.7499999999999999</v>
      </c>
      <c r="E46" s="48">
        <f t="shared" si="10"/>
        <v>0.7499999999999999</v>
      </c>
      <c r="F46" s="48">
        <f t="shared" si="10"/>
        <v>0.7499999999999999</v>
      </c>
      <c r="G46" s="48">
        <f t="shared" si="10"/>
        <v>0.7499999999999999</v>
      </c>
      <c r="H46" s="48">
        <f t="shared" si="10"/>
        <v>0.7499999999999999</v>
      </c>
      <c r="I46" s="48">
        <f t="shared" si="10"/>
        <v>0.7499999999999999</v>
      </c>
      <c r="J46" s="48">
        <f t="shared" si="10"/>
        <v>0.7499999999999999</v>
      </c>
      <c r="K46" s="48">
        <f t="shared" si="10"/>
        <v>0.7499999999999999</v>
      </c>
      <c r="L46" s="48">
        <f t="shared" si="10"/>
        <v>0.7499999999999999</v>
      </c>
    </row>
    <row r="47" spans="1:12" ht="12.75">
      <c r="A47" s="65" t="s">
        <v>149</v>
      </c>
      <c r="B47" s="58">
        <f>((-B55)*ani_mag)+y_offset</f>
        <v>-0.6795710552524032</v>
      </c>
      <c r="C47" s="58">
        <f aca="true" t="shared" si="11" ref="C47:L47">((-C55)*ani_mag)+y_offset</f>
        <v>-0.6009475092772689</v>
      </c>
      <c r="D47" s="58">
        <f t="shared" si="11"/>
        <v>-0.5201970810604224</v>
      </c>
      <c r="E47" s="58">
        <f t="shared" si="11"/>
        <v>-0.43734347187409356</v>
      </c>
      <c r="F47" s="58">
        <f t="shared" si="11"/>
        <v>-0.35241246661854514</v>
      </c>
      <c r="G47" s="58">
        <f t="shared" si="11"/>
        <v>-0.2654320677549237</v>
      </c>
      <c r="H47" s="58">
        <f t="shared" si="11"/>
        <v>-0.1764326801323433</v>
      </c>
      <c r="I47" s="58">
        <f t="shared" si="11"/>
        <v>-0.0854473511279838</v>
      </c>
      <c r="J47" s="58">
        <f t="shared" si="11"/>
        <v>0.007487926386991167</v>
      </c>
      <c r="K47" s="58">
        <f t="shared" si="11"/>
        <v>0.1023338371567366</v>
      </c>
      <c r="L47" s="58">
        <f t="shared" si="11"/>
        <v>0.1990472771736018</v>
      </c>
    </row>
    <row r="48" spans="1:12" ht="12.75">
      <c r="A48" s="65" t="s">
        <v>150</v>
      </c>
      <c r="B48" s="58">
        <f>((B56)*ani_mag)+x_offset</f>
        <v>1.4738342399375068</v>
      </c>
      <c r="C48" s="58">
        <f aca="true" t="shared" si="12" ref="C48:L48">((C56)*ani_mag)+x_offset</f>
        <v>1.508764806722541</v>
      </c>
      <c r="D48" s="58">
        <f t="shared" si="12"/>
        <v>1.5406741520492426</v>
      </c>
      <c r="E48" s="58">
        <f t="shared" si="12"/>
        <v>1.5694398439301152</v>
      </c>
      <c r="F48" s="58">
        <f t="shared" si="12"/>
        <v>1.594928687127541</v>
      </c>
      <c r="G48" s="58">
        <f t="shared" si="12"/>
        <v>1.6169960313063028</v>
      </c>
      <c r="H48" s="58">
        <f t="shared" si="12"/>
        <v>1.6354848162853934</v>
      </c>
      <c r="I48" s="58">
        <f t="shared" si="12"/>
        <v>1.65022433156326</v>
      </c>
      <c r="J48" s="58">
        <f t="shared" si="12"/>
        <v>1.6610286513081811</v>
      </c>
      <c r="K48" s="58">
        <f t="shared" si="12"/>
        <v>1.6676946874805947</v>
      </c>
      <c r="L48" s="58">
        <f t="shared" si="12"/>
        <v>1.6699997807534221</v>
      </c>
    </row>
    <row r="49" spans="1:12" ht="12.75">
      <c r="A49" s="65" t="s">
        <v>151</v>
      </c>
      <c r="B49" s="104">
        <f>0+y_offset</f>
        <v>0.2</v>
      </c>
      <c r="C49" s="104">
        <f aca="true" t="shared" si="13" ref="C49:L49">0+y_offset</f>
        <v>0.2</v>
      </c>
      <c r="D49" s="104">
        <f t="shared" si="13"/>
        <v>0.2</v>
      </c>
      <c r="E49" s="104">
        <f t="shared" si="13"/>
        <v>0.2</v>
      </c>
      <c r="F49" s="104">
        <f t="shared" si="13"/>
        <v>0.2</v>
      </c>
      <c r="G49" s="104">
        <f t="shared" si="13"/>
        <v>0.2</v>
      </c>
      <c r="H49" s="104">
        <f t="shared" si="13"/>
        <v>0.2</v>
      </c>
      <c r="I49" s="104">
        <f t="shared" si="13"/>
        <v>0.2</v>
      </c>
      <c r="J49" s="104">
        <f t="shared" si="13"/>
        <v>0.2</v>
      </c>
      <c r="K49" s="104">
        <f t="shared" si="13"/>
        <v>0.2</v>
      </c>
      <c r="L49" s="104">
        <f t="shared" si="13"/>
        <v>0.2</v>
      </c>
    </row>
    <row r="50" spans="1:12" ht="12.75">
      <c r="A50" s="65" t="s">
        <v>152</v>
      </c>
      <c r="B50" s="58">
        <f>0+x_offset</f>
        <v>-0.4</v>
      </c>
      <c r="C50" s="58">
        <f aca="true" t="shared" si="14" ref="C50:L50">0+x_offset</f>
        <v>-0.4</v>
      </c>
      <c r="D50" s="58">
        <f t="shared" si="14"/>
        <v>-0.4</v>
      </c>
      <c r="E50" s="58">
        <f t="shared" si="14"/>
        <v>-0.4</v>
      </c>
      <c r="F50" s="58">
        <f t="shared" si="14"/>
        <v>-0.4</v>
      </c>
      <c r="G50" s="58">
        <f t="shared" si="14"/>
        <v>-0.4</v>
      </c>
      <c r="H50" s="58">
        <f t="shared" si="14"/>
        <v>-0.4</v>
      </c>
      <c r="I50" s="58">
        <f t="shared" si="14"/>
        <v>-0.4</v>
      </c>
      <c r="J50" s="58">
        <f t="shared" si="14"/>
        <v>-0.4</v>
      </c>
      <c r="K50" s="58">
        <f t="shared" si="14"/>
        <v>-0.4</v>
      </c>
      <c r="L50" s="58">
        <f t="shared" si="14"/>
        <v>-0.4</v>
      </c>
    </row>
    <row r="53" spans="1:12" ht="12.75">
      <c r="A53" s="65" t="s">
        <v>160</v>
      </c>
      <c r="B53" s="48">
        <f aca="true" t="shared" si="15" ref="B53:L53">B14*COS((PIsign*(PI()))-((ACOS(((AD^2)+(B14^2)-(AB^2))/(2*AD*B14))))+(ADEsign*(ASIN((AE)/(SQRT((AE^2)+(ED^2)))))))</f>
        <v>-0.022872419850209998</v>
      </c>
      <c r="C53" s="48">
        <f t="shared" si="15"/>
        <v>-0.02949658990381574</v>
      </c>
      <c r="D53" s="48">
        <f t="shared" si="15"/>
        <v>-0.03700579094928935</v>
      </c>
      <c r="E53" s="48">
        <f t="shared" si="15"/>
        <v>-0.045417940838934814</v>
      </c>
      <c r="F53" s="48">
        <f t="shared" si="15"/>
        <v>-0.05475253262064013</v>
      </c>
      <c r="G53" s="48">
        <f t="shared" si="15"/>
        <v>-0.06503073578936376</v>
      </c>
      <c r="H53" s="48">
        <f t="shared" si="15"/>
        <v>-0.07627553601399711</v>
      </c>
      <c r="I53" s="48">
        <f t="shared" si="15"/>
        <v>-0.088511916680141</v>
      </c>
      <c r="J53" s="48">
        <f t="shared" si="15"/>
        <v>-0.10176708792838414</v>
      </c>
      <c r="K53" s="48">
        <f t="shared" si="15"/>
        <v>-0.11607077157875162</v>
      </c>
      <c r="L53" s="48">
        <f t="shared" si="15"/>
        <v>-0.13145555369815487</v>
      </c>
    </row>
    <row r="54" spans="1:12" ht="12.75">
      <c r="A54" s="65" t="s">
        <v>159</v>
      </c>
      <c r="B54" s="48">
        <f>SQRT((B14^2)-(B53^2))</f>
        <v>0.5194967299321487</v>
      </c>
      <c r="C54" s="48">
        <f aca="true" t="shared" si="16" ref="C54:L54">SQRT((C14^2)-(C53^2))</f>
        <v>0.5391937974272758</v>
      </c>
      <c r="D54" s="48">
        <f t="shared" si="16"/>
        <v>0.5587759581766358</v>
      </c>
      <c r="E54" s="48">
        <f t="shared" si="16"/>
        <v>0.5782189988663042</v>
      </c>
      <c r="F54" s="48">
        <f t="shared" si="16"/>
        <v>0.5974965775396758</v>
      </c>
      <c r="G54" s="48">
        <f t="shared" si="16"/>
        <v>0.61658008677113</v>
      </c>
      <c r="H54" s="48">
        <f t="shared" si="16"/>
        <v>0.63543846484595</v>
      </c>
      <c r="I54" s="48">
        <f t="shared" si="16"/>
        <v>0.6540379504322421</v>
      </c>
      <c r="J54" s="48">
        <f t="shared" si="16"/>
        <v>0.6723417730697512</v>
      </c>
      <c r="K54" s="48">
        <f t="shared" si="16"/>
        <v>0.6903097681368224</v>
      </c>
      <c r="L54" s="48">
        <f t="shared" si="16"/>
        <v>0.707897900407899</v>
      </c>
    </row>
    <row r="55" spans="1:12" ht="12.75">
      <c r="A55" s="65" t="s">
        <v>162</v>
      </c>
      <c r="B55" s="48">
        <f aca="true" t="shared" si="17" ref="B55:L55">AC*SIN(((PI()/2)+(EADsign*(ASIN(ED/AD)))+(DABsign*(ACOS(((AD^2)+(AB^2)-(B14^2))/(2*AD*AB))))+(BACsign*(ACOS(((AB^2)+(AC^2)-(BC^2))/(2*AB*AC))))))</f>
        <v>0.38242219793582755</v>
      </c>
      <c r="C55" s="48">
        <f t="shared" si="17"/>
        <v>0.34823804751185605</v>
      </c>
      <c r="D55" s="48">
        <f t="shared" si="17"/>
        <v>0.3131291656784445</v>
      </c>
      <c r="E55" s="48">
        <f t="shared" si="17"/>
        <v>0.27710585733656246</v>
      </c>
      <c r="F55" s="48">
        <f t="shared" si="17"/>
        <v>0.24017933331241095</v>
      </c>
      <c r="G55" s="48">
        <f t="shared" si="17"/>
        <v>0.20236176858909727</v>
      </c>
      <c r="H55" s="48">
        <f t="shared" si="17"/>
        <v>0.16366638266623623</v>
      </c>
      <c r="I55" s="48">
        <f t="shared" si="17"/>
        <v>0.12410754396868862</v>
      </c>
      <c r="J55" s="48">
        <f t="shared" si="17"/>
        <v>0.08370090157087341</v>
      </c>
      <c r="K55" s="48">
        <f t="shared" si="17"/>
        <v>0.04246354906228844</v>
      </c>
      <c r="L55" s="48">
        <f t="shared" si="17"/>
        <v>0.0004142273158253144</v>
      </c>
    </row>
    <row r="56" spans="1:12" ht="12.75">
      <c r="A56" s="65" t="s">
        <v>161</v>
      </c>
      <c r="B56" s="48">
        <f aca="true" t="shared" si="18" ref="B56:L56">SQRT((AC^2)-(B55^2))</f>
        <v>0.8147105391032639</v>
      </c>
      <c r="C56" s="48">
        <f t="shared" si="18"/>
        <v>0.8298977420532787</v>
      </c>
      <c r="D56" s="48">
        <f t="shared" si="18"/>
        <v>0.8437713704561925</v>
      </c>
      <c r="E56" s="48">
        <f t="shared" si="18"/>
        <v>0.8562781930130936</v>
      </c>
      <c r="F56" s="48">
        <f t="shared" si="18"/>
        <v>0.8673602987511049</v>
      </c>
      <c r="G56" s="48">
        <f t="shared" si="18"/>
        <v>0.8769547962201317</v>
      </c>
      <c r="H56" s="48">
        <f t="shared" si="18"/>
        <v>0.8849933983849536</v>
      </c>
      <c r="I56" s="48">
        <f t="shared" si="18"/>
        <v>0.891401883288374</v>
      </c>
      <c r="J56" s="48">
        <f t="shared" si="18"/>
        <v>0.8960994136122526</v>
      </c>
      <c r="K56" s="48">
        <f t="shared" si="18"/>
        <v>0.8989976902089541</v>
      </c>
      <c r="L56" s="48">
        <f t="shared" si="18"/>
        <v>0.899999904675401</v>
      </c>
    </row>
    <row r="58" spans="1:12" ht="12.75">
      <c r="A58" s="65" t="s">
        <v>164</v>
      </c>
      <c r="B58" s="48">
        <f>DEGREES(PI()-(ATAN(AE/ED))-(ACOS(((AD^2)+(B14^2)-(AB^2))/(2*AD*B14))))-90</f>
        <v>2.52099243328081</v>
      </c>
      <c r="C58" s="48">
        <f aca="true" t="shared" si="19" ref="C58:L58">DEGREES(PI()-(ATAN(AE/ED))-(ACOS(((AD^2)+(C14^2)-(AB^2))/(2*AD*C14))))-90</f>
        <v>3.131243828844873</v>
      </c>
      <c r="D58" s="48">
        <f t="shared" si="19"/>
        <v>3.7889675283999793</v>
      </c>
      <c r="E58" s="48">
        <f t="shared" si="19"/>
        <v>4.4912468546873185</v>
      </c>
      <c r="F58" s="48">
        <f t="shared" si="19"/>
        <v>5.235765607333519</v>
      </c>
      <c r="G58" s="48">
        <f t="shared" si="19"/>
        <v>6.020730136794725</v>
      </c>
      <c r="H58" s="48">
        <f t="shared" si="19"/>
        <v>6.844810722348441</v>
      </c>
      <c r="I58" s="48">
        <f t="shared" si="19"/>
        <v>7.707098800159173</v>
      </c>
      <c r="J58" s="48">
        <f t="shared" si="19"/>
        <v>8.607077682126985</v>
      </c>
      <c r="K58" s="48">
        <f t="shared" si="19"/>
        <v>9.544605279134288</v>
      </c>
      <c r="L58" s="48">
        <f t="shared" si="19"/>
        <v>10.519908089402875</v>
      </c>
    </row>
  </sheetData>
  <sheetProtection sheet="1" objects="1" scenarios="1"/>
  <mergeCells count="2">
    <mergeCell ref="B2:D2"/>
    <mergeCell ref="F2:H2"/>
  </mergeCells>
  <printOptions/>
  <pageMargins left="0.75" right="0.75" top="1" bottom="1" header="0.5" footer="0.5"/>
  <pageSetup horizontalDpi="300" verticalDpi="300" orientation="portrait" r:id="rId8"/>
  <drawing r:id="rId7"/>
  <legacyDrawing r:id="rId6"/>
  <oleObjects>
    <oleObject progId="PowerPoint.Slide.8" shapeId="179617" r:id="rId2"/>
    <oleObject progId="PowerPoint.Slide.8" shapeId="179620" r:id="rId3"/>
    <oleObject progId="PowerPoint.Slide.8" shapeId="179623" r:id="rId4"/>
    <oleObject progId="PowerPoint.Slide.8" shapeId="179624" r:id="rId5"/>
  </oleObjects>
</worksheet>
</file>

<file path=xl/worksheets/sheet4.xml><?xml version="1.0" encoding="utf-8"?>
<worksheet xmlns="http://schemas.openxmlformats.org/spreadsheetml/2006/main" xmlns:r="http://schemas.openxmlformats.org/officeDocument/2006/relationships">
  <dimension ref="A1:EG41"/>
  <sheetViews>
    <sheetView workbookViewId="0" topLeftCell="A1">
      <pane xSplit="1" ySplit="1" topLeftCell="B2" activePane="bottomRight" state="frozen"/>
      <selection pane="topLeft" activeCell="B8" sqref="B8"/>
      <selection pane="topRight" activeCell="B8" sqref="B8"/>
      <selection pane="bottomLeft" activeCell="B8" sqref="B8"/>
      <selection pane="bottomRight" activeCell="B11" sqref="B11"/>
    </sheetView>
  </sheetViews>
  <sheetFormatPr defaultColWidth="9.140625" defaultRowHeight="12.75"/>
  <cols>
    <col min="1" max="1" width="29.140625" style="0" customWidth="1"/>
    <col min="2" max="4" width="9.00390625" style="0" customWidth="1"/>
    <col min="5" max="86" width="9.00390625" style="0" bestFit="1" customWidth="1"/>
    <col min="87" max="119" width="9.00390625" style="0" customWidth="1"/>
    <col min="120" max="16384" width="9.00390625" style="0" bestFit="1" customWidth="1"/>
  </cols>
  <sheetData>
    <row r="1" spans="2:137" ht="12.75">
      <c r="B1" s="1">
        <v>0</v>
      </c>
      <c r="C1" s="1">
        <f>B1+t</f>
        <v>0.006666666666666667</v>
      </c>
      <c r="D1" s="1">
        <f>C1+t</f>
        <v>0.013333333333333334</v>
      </c>
      <c r="E1" s="1">
        <f>D1+t</f>
        <v>0.02</v>
      </c>
      <c r="F1" s="1">
        <f aca="true" t="shared" si="0" ref="F1:BQ1">E1+t</f>
        <v>0.02666666666666667</v>
      </c>
      <c r="G1" s="1">
        <f t="shared" si="0"/>
        <v>0.03333333333333333</v>
      </c>
      <c r="H1" s="1">
        <f t="shared" si="0"/>
        <v>0.04</v>
      </c>
      <c r="I1" s="1">
        <f t="shared" si="0"/>
        <v>0.04666666666666667</v>
      </c>
      <c r="J1" s="1">
        <f t="shared" si="0"/>
        <v>0.05333333333333334</v>
      </c>
      <c r="K1" s="1">
        <f t="shared" si="0"/>
        <v>0.060000000000000005</v>
      </c>
      <c r="L1" s="1">
        <f t="shared" si="0"/>
        <v>0.06666666666666667</v>
      </c>
      <c r="M1" s="1">
        <f t="shared" si="0"/>
        <v>0.07333333333333333</v>
      </c>
      <c r="N1" s="1">
        <f t="shared" si="0"/>
        <v>0.08</v>
      </c>
      <c r="O1" s="1">
        <f t="shared" si="0"/>
        <v>0.08666666666666667</v>
      </c>
      <c r="P1" s="1">
        <f t="shared" si="0"/>
        <v>0.09333333333333334</v>
      </c>
      <c r="Q1" s="1">
        <f t="shared" si="0"/>
        <v>0.1</v>
      </c>
      <c r="R1" s="1">
        <f t="shared" si="0"/>
        <v>0.10666666666666667</v>
      </c>
      <c r="S1" s="1">
        <f t="shared" si="0"/>
        <v>0.11333333333333334</v>
      </c>
      <c r="T1" s="1">
        <f t="shared" si="0"/>
        <v>0.12000000000000001</v>
      </c>
      <c r="U1" s="1">
        <f t="shared" si="0"/>
        <v>0.12666666666666668</v>
      </c>
      <c r="V1" s="1">
        <f t="shared" si="0"/>
        <v>0.13333333333333333</v>
      </c>
      <c r="W1" s="1">
        <f t="shared" si="0"/>
        <v>0.13999999999999999</v>
      </c>
      <c r="X1" s="1">
        <f t="shared" si="0"/>
        <v>0.14666666666666664</v>
      </c>
      <c r="Y1" s="1">
        <f t="shared" si="0"/>
        <v>0.1533333333333333</v>
      </c>
      <c r="Z1" s="1">
        <f t="shared" si="0"/>
        <v>0.15999999999999995</v>
      </c>
      <c r="AA1" s="1">
        <f t="shared" si="0"/>
        <v>0.1666666666666666</v>
      </c>
      <c r="AB1" s="1">
        <f t="shared" si="0"/>
        <v>0.17333333333333326</v>
      </c>
      <c r="AC1" s="1">
        <f t="shared" si="0"/>
        <v>0.1799999999999999</v>
      </c>
      <c r="AD1" s="1">
        <f t="shared" si="0"/>
        <v>0.18666666666666656</v>
      </c>
      <c r="AE1" s="1">
        <f t="shared" si="0"/>
        <v>0.19333333333333322</v>
      </c>
      <c r="AF1" s="1">
        <f t="shared" si="0"/>
        <v>0.19999999999999987</v>
      </c>
      <c r="AG1" s="1">
        <f t="shared" si="0"/>
        <v>0.20666666666666653</v>
      </c>
      <c r="AH1" s="1">
        <f t="shared" si="0"/>
        <v>0.21333333333333318</v>
      </c>
      <c r="AI1" s="1">
        <f t="shared" si="0"/>
        <v>0.21999999999999983</v>
      </c>
      <c r="AJ1" s="1">
        <f t="shared" si="0"/>
        <v>0.2266666666666665</v>
      </c>
      <c r="AK1" s="1">
        <f t="shared" si="0"/>
        <v>0.23333333333333314</v>
      </c>
      <c r="AL1" s="1">
        <f t="shared" si="0"/>
        <v>0.2399999999999998</v>
      </c>
      <c r="AM1" s="1">
        <f t="shared" si="0"/>
        <v>0.24666666666666645</v>
      </c>
      <c r="AN1" s="1">
        <f t="shared" si="0"/>
        <v>0.25333333333333313</v>
      </c>
      <c r="AO1" s="1">
        <f t="shared" si="0"/>
        <v>0.2599999999999998</v>
      </c>
      <c r="AP1" s="1">
        <f t="shared" si="0"/>
        <v>0.26666666666666644</v>
      </c>
      <c r="AQ1" s="1">
        <f t="shared" si="0"/>
        <v>0.2733333333333331</v>
      </c>
      <c r="AR1" s="1">
        <f t="shared" si="0"/>
        <v>0.27999999999999975</v>
      </c>
      <c r="AS1" s="1">
        <f t="shared" si="0"/>
        <v>0.2866666666666664</v>
      </c>
      <c r="AT1" s="1">
        <f t="shared" si="0"/>
        <v>0.29333333333333306</v>
      </c>
      <c r="AU1" s="1">
        <f t="shared" si="0"/>
        <v>0.2999999999999997</v>
      </c>
      <c r="AV1" s="1">
        <f t="shared" si="0"/>
        <v>0.30666666666666637</v>
      </c>
      <c r="AW1" s="1">
        <f t="shared" si="0"/>
        <v>0.313333333333333</v>
      </c>
      <c r="AX1" s="1">
        <f t="shared" si="0"/>
        <v>0.3199999999999997</v>
      </c>
      <c r="AY1" s="1">
        <f t="shared" si="0"/>
        <v>0.3266666666666663</v>
      </c>
      <c r="AZ1" s="1">
        <f t="shared" si="0"/>
        <v>0.333333333333333</v>
      </c>
      <c r="BA1" s="1">
        <f t="shared" si="0"/>
        <v>0.33999999999999964</v>
      </c>
      <c r="BB1" s="1">
        <f t="shared" si="0"/>
        <v>0.3466666666666663</v>
      </c>
      <c r="BC1" s="1">
        <f t="shared" si="0"/>
        <v>0.35333333333333294</v>
      </c>
      <c r="BD1" s="1">
        <f t="shared" si="0"/>
        <v>0.3599999999999996</v>
      </c>
      <c r="BE1" s="1">
        <f t="shared" si="0"/>
        <v>0.36666666666666625</v>
      </c>
      <c r="BF1" s="1">
        <f t="shared" si="0"/>
        <v>0.3733333333333329</v>
      </c>
      <c r="BG1" s="1">
        <f t="shared" si="0"/>
        <v>0.37999999999999956</v>
      </c>
      <c r="BH1" s="1">
        <f t="shared" si="0"/>
        <v>0.3866666666666662</v>
      </c>
      <c r="BI1" s="1">
        <f t="shared" si="0"/>
        <v>0.39333333333333287</v>
      </c>
      <c r="BJ1" s="1">
        <f t="shared" si="0"/>
        <v>0.3999999999999995</v>
      </c>
      <c r="BK1" s="1">
        <f t="shared" si="0"/>
        <v>0.4066666666666662</v>
      </c>
      <c r="BL1" s="1">
        <f t="shared" si="0"/>
        <v>0.41333333333333283</v>
      </c>
      <c r="BM1" s="1">
        <f t="shared" si="0"/>
        <v>0.4199999999999995</v>
      </c>
      <c r="BN1" s="1">
        <f t="shared" si="0"/>
        <v>0.42666666666666614</v>
      </c>
      <c r="BO1" s="1">
        <f t="shared" si="0"/>
        <v>0.4333333333333328</v>
      </c>
      <c r="BP1" s="1">
        <f t="shared" si="0"/>
        <v>0.43999999999999945</v>
      </c>
      <c r="BQ1" s="1">
        <f t="shared" si="0"/>
        <v>0.4466666666666661</v>
      </c>
      <c r="BR1" s="1">
        <f aca="true" t="shared" si="1" ref="BR1:EG1">BQ1+t</f>
        <v>0.45333333333333276</v>
      </c>
      <c r="BS1" s="1">
        <f t="shared" si="1"/>
        <v>0.4599999999999994</v>
      </c>
      <c r="BT1" s="1">
        <f t="shared" si="1"/>
        <v>0.46666666666666606</v>
      </c>
      <c r="BU1" s="1">
        <f t="shared" si="1"/>
        <v>0.4733333333333327</v>
      </c>
      <c r="BV1" s="1">
        <f t="shared" si="1"/>
        <v>0.47999999999999937</v>
      </c>
      <c r="BW1" s="1">
        <f t="shared" si="1"/>
        <v>0.486666666666666</v>
      </c>
      <c r="BX1" s="1">
        <f t="shared" si="1"/>
        <v>0.4933333333333327</v>
      </c>
      <c r="BY1" s="1">
        <f t="shared" si="1"/>
        <v>0.49999999999999933</v>
      </c>
      <c r="BZ1" s="1">
        <f t="shared" si="1"/>
        <v>0.506666666666666</v>
      </c>
      <c r="CA1" s="1">
        <f t="shared" si="1"/>
        <v>0.5133333333333328</v>
      </c>
      <c r="CB1" s="1">
        <f t="shared" si="1"/>
        <v>0.5199999999999995</v>
      </c>
      <c r="CC1" s="1">
        <f t="shared" si="1"/>
        <v>0.5266666666666662</v>
      </c>
      <c r="CD1" s="1">
        <f t="shared" si="1"/>
        <v>0.5333333333333329</v>
      </c>
      <c r="CE1" s="1">
        <f t="shared" si="1"/>
        <v>0.5399999999999996</v>
      </c>
      <c r="CF1" s="1">
        <f t="shared" si="1"/>
        <v>0.5466666666666663</v>
      </c>
      <c r="CG1" s="1">
        <f t="shared" si="1"/>
        <v>0.553333333333333</v>
      </c>
      <c r="CH1" s="1">
        <f t="shared" si="1"/>
        <v>0.5599999999999997</v>
      </c>
      <c r="CI1" s="1">
        <f t="shared" si="1"/>
        <v>0.5666666666666664</v>
      </c>
      <c r="CJ1" s="1">
        <f t="shared" si="1"/>
        <v>0.5733333333333331</v>
      </c>
      <c r="CK1" s="1">
        <f t="shared" si="1"/>
        <v>0.5799999999999998</v>
      </c>
      <c r="CL1" s="1">
        <f t="shared" si="1"/>
        <v>0.5866666666666666</v>
      </c>
      <c r="CM1" s="1">
        <f t="shared" si="1"/>
        <v>0.5933333333333333</v>
      </c>
      <c r="CN1" s="1">
        <f t="shared" si="1"/>
        <v>0.6</v>
      </c>
      <c r="CO1" s="1">
        <f t="shared" si="1"/>
        <v>0.6066666666666667</v>
      </c>
      <c r="CP1" s="1">
        <f t="shared" si="1"/>
        <v>0.6133333333333334</v>
      </c>
      <c r="CQ1" s="1">
        <f t="shared" si="1"/>
        <v>0.6200000000000001</v>
      </c>
      <c r="CR1" s="1">
        <f t="shared" si="1"/>
        <v>0.6266666666666668</v>
      </c>
      <c r="CS1" s="1">
        <f t="shared" si="1"/>
        <v>0.6333333333333335</v>
      </c>
      <c r="CT1" s="1">
        <f t="shared" si="1"/>
        <v>0.6400000000000002</v>
      </c>
      <c r="CU1" s="1">
        <f t="shared" si="1"/>
        <v>0.646666666666667</v>
      </c>
      <c r="CV1" s="1">
        <f t="shared" si="1"/>
        <v>0.6533333333333337</v>
      </c>
      <c r="CW1" s="1">
        <f t="shared" si="1"/>
        <v>0.6600000000000004</v>
      </c>
      <c r="CX1" s="1">
        <f t="shared" si="1"/>
        <v>0.6666666666666671</v>
      </c>
      <c r="CY1" s="1">
        <f t="shared" si="1"/>
        <v>0.6733333333333338</v>
      </c>
      <c r="CZ1" s="1">
        <f t="shared" si="1"/>
        <v>0.6800000000000005</v>
      </c>
      <c r="DA1" s="1">
        <f t="shared" si="1"/>
        <v>0.6866666666666672</v>
      </c>
      <c r="DB1" s="1">
        <f t="shared" si="1"/>
        <v>0.6933333333333339</v>
      </c>
      <c r="DC1" s="1">
        <f t="shared" si="1"/>
        <v>0.7000000000000006</v>
      </c>
      <c r="DD1" s="1">
        <f t="shared" si="1"/>
        <v>0.7066666666666673</v>
      </c>
      <c r="DE1" s="1">
        <f t="shared" si="1"/>
        <v>0.713333333333334</v>
      </c>
      <c r="DF1" s="1">
        <f t="shared" si="1"/>
        <v>0.7200000000000008</v>
      </c>
      <c r="DG1" s="1">
        <f t="shared" si="1"/>
        <v>0.7266666666666675</v>
      </c>
      <c r="DH1" s="1">
        <f t="shared" si="1"/>
        <v>0.7333333333333342</v>
      </c>
      <c r="DI1" s="1">
        <f t="shared" si="1"/>
        <v>0.7400000000000009</v>
      </c>
      <c r="DJ1" s="1">
        <f t="shared" si="1"/>
        <v>0.7466666666666676</v>
      </c>
      <c r="DK1" s="1">
        <f t="shared" si="1"/>
        <v>0.7533333333333343</v>
      </c>
      <c r="DL1" s="1">
        <f t="shared" si="1"/>
        <v>0.760000000000001</v>
      </c>
      <c r="DM1" s="1">
        <f t="shared" si="1"/>
        <v>0.7666666666666677</v>
      </c>
      <c r="DN1" s="1">
        <f t="shared" si="1"/>
        <v>0.7733333333333344</v>
      </c>
      <c r="DO1" s="1">
        <f t="shared" si="1"/>
        <v>0.7800000000000011</v>
      </c>
      <c r="DP1" s="1">
        <f t="shared" si="1"/>
        <v>0.7866666666666678</v>
      </c>
      <c r="DQ1" s="1">
        <f t="shared" si="1"/>
        <v>0.7933333333333346</v>
      </c>
      <c r="DR1" s="1">
        <f t="shared" si="1"/>
        <v>0.8000000000000013</v>
      </c>
      <c r="DS1" s="1">
        <f t="shared" si="1"/>
        <v>0.806666666666668</v>
      </c>
      <c r="DT1" s="1">
        <f t="shared" si="1"/>
        <v>0.8133333333333347</v>
      </c>
      <c r="DU1" s="1">
        <f t="shared" si="1"/>
        <v>0.8200000000000014</v>
      </c>
      <c r="DV1" s="1">
        <f t="shared" si="1"/>
        <v>0.8266666666666681</v>
      </c>
      <c r="DW1" s="1">
        <f t="shared" si="1"/>
        <v>0.8333333333333348</v>
      </c>
      <c r="DX1" s="1">
        <f t="shared" si="1"/>
        <v>0.8400000000000015</v>
      </c>
      <c r="DY1" s="1">
        <f t="shared" si="1"/>
        <v>0.8466666666666682</v>
      </c>
      <c r="DZ1" s="1">
        <f t="shared" si="1"/>
        <v>0.8533333333333349</v>
      </c>
      <c r="EA1" s="1">
        <f t="shared" si="1"/>
        <v>0.8600000000000017</v>
      </c>
      <c r="EB1" s="1">
        <f t="shared" si="1"/>
        <v>0.8666666666666684</v>
      </c>
      <c r="EC1" s="1">
        <f t="shared" si="1"/>
        <v>0.8733333333333351</v>
      </c>
      <c r="ED1" s="1">
        <f t="shared" si="1"/>
        <v>0.8800000000000018</v>
      </c>
      <c r="EE1" s="1">
        <f t="shared" si="1"/>
        <v>0.8866666666666685</v>
      </c>
      <c r="EF1" s="1">
        <f t="shared" si="1"/>
        <v>0.8933333333333352</v>
      </c>
      <c r="EG1" s="1">
        <f t="shared" si="1"/>
        <v>0.9000000000000019</v>
      </c>
    </row>
    <row r="2" spans="1:137" ht="12.75">
      <c r="A2" t="s">
        <v>12</v>
      </c>
      <c r="B2" s="1">
        <v>0</v>
      </c>
      <c r="C2" s="1">
        <f>(B5+(Fv*t))/((ram_csa*B13*no_of_rams*1000)+(Vp))</f>
        <v>33.71808529079507</v>
      </c>
      <c r="D2" s="1">
        <f aca="true" t="shared" si="2" ref="D2:BO2">(C5+(Fv*t))/((ram_csa*C13*no_of_rams*1000)+(Vp))</f>
        <v>13.662952642168658</v>
      </c>
      <c r="E2" s="1">
        <f t="shared" si="2"/>
        <v>11.172277181683084</v>
      </c>
      <c r="F2" s="1">
        <f t="shared" si="2"/>
        <v>9.625867205496352</v>
      </c>
      <c r="G2" s="1">
        <f t="shared" si="2"/>
        <v>8.574299625063647</v>
      </c>
      <c r="H2" s="1">
        <f t="shared" si="2"/>
        <v>7.812026582745538</v>
      </c>
      <c r="I2" s="1">
        <f t="shared" si="2"/>
        <v>7.233264866832316</v>
      </c>
      <c r="J2" s="1">
        <f t="shared" si="2"/>
        <v>6.778278965497796</v>
      </c>
      <c r="K2" s="1">
        <f t="shared" si="2"/>
        <v>6.410830263326348</v>
      </c>
      <c r="L2" s="1">
        <f t="shared" si="2"/>
        <v>6.1076586362992185</v>
      </c>
      <c r="M2" s="1">
        <f t="shared" si="2"/>
        <v>5.853141434296071</v>
      </c>
      <c r="N2" s="1">
        <f t="shared" si="2"/>
        <v>5.636388262038288</v>
      </c>
      <c r="O2" s="1">
        <f t="shared" si="2"/>
        <v>5.4495687412727385</v>
      </c>
      <c r="P2" s="1">
        <f t="shared" si="2"/>
        <v>5.286903449753322</v>
      </c>
      <c r="Q2" s="1">
        <f t="shared" si="2"/>
        <v>5.144030224880132</v>
      </c>
      <c r="R2" s="1">
        <f t="shared" si="2"/>
        <v>5.017592352775777</v>
      </c>
      <c r="S2" s="1">
        <f t="shared" si="2"/>
        <v>4.904962910990761</v>
      </c>
      <c r="T2" s="1">
        <f t="shared" si="2"/>
        <v>4.80405541589809</v>
      </c>
      <c r="U2" s="1">
        <f t="shared" si="2"/>
        <v>4.7131907573338445</v>
      </c>
      <c r="V2" s="1">
        <f t="shared" si="2"/>
        <v>4.631001779373639</v>
      </c>
      <c r="W2" s="1">
        <f t="shared" si="2"/>
        <v>4.556363610346108</v>
      </c>
      <c r="X2" s="1">
        <f t="shared" si="2"/>
        <v>4.488341961972806</v>
      </c>
      <c r="Y2" s="1">
        <f t="shared" si="2"/>
        <v>4.4261541971057055</v>
      </c>
      <c r="Z2" s="1">
        <f t="shared" si="2"/>
        <v>4.36913962041623</v>
      </c>
      <c r="AA2" s="1">
        <f t="shared" si="2"/>
        <v>4.316736530912614</v>
      </c>
      <c r="AB2" s="1">
        <f t="shared" si="2"/>
        <v>4.268464299800271</v>
      </c>
      <c r="AC2" s="1">
        <f t="shared" si="2"/>
        <v>4.223909230014476</v>
      </c>
      <c r="AD2" s="1">
        <f t="shared" si="2"/>
        <v>4.182713294385294</v>
      </c>
      <c r="AE2" s="1">
        <f t="shared" si="2"/>
        <v>4.144565088373742</v>
      </c>
      <c r="AF2" s="1">
        <f t="shared" si="2"/>
        <v>4.109192503303031</v>
      </c>
      <c r="AG2" s="1">
        <f t="shared" si="2"/>
        <v>4.076356748469062</v>
      </c>
      <c r="AH2" s="1">
        <f t="shared" si="2"/>
        <v>4.045847439785894</v>
      </c>
      <c r="AI2" s="1">
        <f t="shared" si="2"/>
        <v>4.017478538420747</v>
      </c>
      <c r="AJ2" s="1">
        <f t="shared" si="2"/>
        <v>4.062415630719616</v>
      </c>
      <c r="AK2" s="1">
        <f t="shared" si="2"/>
        <v>4.183783771424317</v>
      </c>
      <c r="AL2" s="1">
        <f t="shared" si="2"/>
        <v>4.305151912129019</v>
      </c>
      <c r="AM2" s="1">
        <f t="shared" si="2"/>
        <v>4.4265200528337205</v>
      </c>
      <c r="AN2" s="1">
        <f t="shared" si="2"/>
        <v>4.547888193538422</v>
      </c>
      <c r="AO2" s="1">
        <f t="shared" si="2"/>
        <v>4.669256334243124</v>
      </c>
      <c r="AP2" s="1">
        <f t="shared" si="2"/>
        <v>4.790624474947825</v>
      </c>
      <c r="AQ2" s="1">
        <f t="shared" si="2"/>
        <v>4.911992615652527</v>
      </c>
      <c r="AR2" s="1">
        <f t="shared" si="2"/>
        <v>5.0333607563572285</v>
      </c>
      <c r="AS2" s="1">
        <f t="shared" si="2"/>
        <v>5.15472889706193</v>
      </c>
      <c r="AT2" s="1">
        <f t="shared" si="2"/>
        <v>5.276097037766631</v>
      </c>
      <c r="AU2" s="1">
        <f t="shared" si="2"/>
        <v>5.397465178471332</v>
      </c>
      <c r="AV2" s="1">
        <f t="shared" si="2"/>
        <v>5.518833319176033</v>
      </c>
      <c r="AW2" s="1">
        <f t="shared" si="2"/>
        <v>5.640201459880735</v>
      </c>
      <c r="AX2" s="1">
        <f t="shared" si="2"/>
        <v>5.761569600585435</v>
      </c>
      <c r="AY2" s="1">
        <f t="shared" si="2"/>
        <v>5.882937741290137</v>
      </c>
      <c r="AZ2" s="1">
        <f t="shared" si="2"/>
        <v>6.004305881994838</v>
      </c>
      <c r="BA2" s="1">
        <f t="shared" si="2"/>
        <v>6.125674022699539</v>
      </c>
      <c r="BB2" s="1">
        <f t="shared" si="2"/>
        <v>6.24704216340424</v>
      </c>
      <c r="BC2" s="1">
        <f t="shared" si="2"/>
        <v>6.3684103041089415</v>
      </c>
      <c r="BD2" s="1">
        <f t="shared" si="2"/>
        <v>6.489778444813642</v>
      </c>
      <c r="BE2" s="1">
        <f t="shared" si="2"/>
        <v>6.611146585518344</v>
      </c>
      <c r="BF2" s="1">
        <f t="shared" si="2"/>
        <v>6.7325147262230445</v>
      </c>
      <c r="BG2" s="1">
        <f t="shared" si="2"/>
        <v>6.853882866927746</v>
      </c>
      <c r="BH2" s="1">
        <f t="shared" si="2"/>
        <v>6.975251007632447</v>
      </c>
      <c r="BI2" s="1">
        <f t="shared" si="2"/>
        <v>7.096619148337148</v>
      </c>
      <c r="BJ2" s="1">
        <f t="shared" si="2"/>
        <v>7.217987289041849</v>
      </c>
      <c r="BK2" s="1">
        <f t="shared" si="2"/>
        <v>7.339355429746551</v>
      </c>
      <c r="BL2" s="1">
        <f t="shared" si="2"/>
        <v>7.460723570451251</v>
      </c>
      <c r="BM2" s="1">
        <f t="shared" si="2"/>
        <v>7.582091711155953</v>
      </c>
      <c r="BN2" s="1">
        <f t="shared" si="2"/>
        <v>7.703459851860654</v>
      </c>
      <c r="BO2" s="1">
        <f t="shared" si="2"/>
        <v>7.824827992565355</v>
      </c>
      <c r="BP2" s="1">
        <f aca="true" t="shared" si="3" ref="BP2:CH2">(BO5+(Fv*t))/((ram_csa*BO13*no_of_rams*1000)+(Vp))</f>
        <v>7.946196133270056</v>
      </c>
      <c r="BQ2" s="1">
        <f t="shared" si="3"/>
        <v>8.067564273974757</v>
      </c>
      <c r="BR2" s="1">
        <f t="shared" si="3"/>
        <v>8.188932414679458</v>
      </c>
      <c r="BS2" s="1">
        <f t="shared" si="3"/>
        <v>8.31030055538416</v>
      </c>
      <c r="BT2" s="1">
        <f t="shared" si="3"/>
        <v>8.431668696088861</v>
      </c>
      <c r="BU2" s="1">
        <f t="shared" si="3"/>
        <v>8.553036836793561</v>
      </c>
      <c r="BV2" s="1">
        <f t="shared" si="3"/>
        <v>8.674404977498263</v>
      </c>
      <c r="BW2" s="1">
        <f t="shared" si="3"/>
        <v>8.795773118202964</v>
      </c>
      <c r="BX2" s="1">
        <f t="shared" si="3"/>
        <v>8.917141258907666</v>
      </c>
      <c r="BY2" s="1">
        <f t="shared" si="3"/>
        <v>8.970682383881602</v>
      </c>
      <c r="BZ2" s="1">
        <f t="shared" si="3"/>
        <v>9.009495165649923</v>
      </c>
      <c r="CA2" s="1">
        <f t="shared" si="3"/>
        <v>9.048307947418243</v>
      </c>
      <c r="CB2" s="1">
        <f t="shared" si="3"/>
        <v>9.087120729186562</v>
      </c>
      <c r="CC2" s="1">
        <f t="shared" si="3"/>
        <v>9.125933510954882</v>
      </c>
      <c r="CD2" s="1">
        <f t="shared" si="3"/>
        <v>9.164746292723201</v>
      </c>
      <c r="CE2" s="1">
        <f t="shared" si="3"/>
        <v>9.203559074491523</v>
      </c>
      <c r="CF2" s="1">
        <f t="shared" si="3"/>
        <v>9.24237185625984</v>
      </c>
      <c r="CG2" s="1">
        <f t="shared" si="3"/>
        <v>9.28118463802816</v>
      </c>
      <c r="CH2" s="1">
        <f t="shared" si="3"/>
        <v>9.319997419796481</v>
      </c>
      <c r="CI2" s="1">
        <f aca="true" t="shared" si="4" ref="CI2:DN2">(CH5+(Fv*t))/((ram_csa*CH13*no_of_rams*1000)+(Vp))</f>
        <v>9.3588102015648</v>
      </c>
      <c r="CJ2" s="1">
        <f t="shared" si="4"/>
        <v>9.39762298333312</v>
      </c>
      <c r="CK2" s="1">
        <f t="shared" si="4"/>
        <v>9.436435765101438</v>
      </c>
      <c r="CL2" s="1">
        <f t="shared" si="4"/>
        <v>9.475248546869759</v>
      </c>
      <c r="CM2" s="1">
        <f t="shared" si="4"/>
        <v>9.514061328638078</v>
      </c>
      <c r="CN2" s="1">
        <f t="shared" si="4"/>
        <v>9.552874110406398</v>
      </c>
      <c r="CO2" s="1">
        <f t="shared" si="4"/>
        <v>9.591686892174717</v>
      </c>
      <c r="CP2" s="1">
        <f t="shared" si="4"/>
        <v>9.630499673943035</v>
      </c>
      <c r="CQ2" s="1">
        <f t="shared" si="4"/>
        <v>9.669312455711358</v>
      </c>
      <c r="CR2" s="1">
        <f t="shared" si="4"/>
        <v>9.708125237479676</v>
      </c>
      <c r="CS2" s="1">
        <f t="shared" si="4"/>
        <v>9.746938019247995</v>
      </c>
      <c r="CT2" s="1">
        <f t="shared" si="4"/>
        <v>9.785750801016315</v>
      </c>
      <c r="CU2" s="1">
        <f t="shared" si="4"/>
        <v>9.824563582784636</v>
      </c>
      <c r="CV2" s="1">
        <f t="shared" si="4"/>
        <v>9.863376364552956</v>
      </c>
      <c r="CW2" s="1">
        <f t="shared" si="4"/>
        <v>9.902189146321273</v>
      </c>
      <c r="CX2" s="1">
        <f t="shared" si="4"/>
        <v>9.941001928089594</v>
      </c>
      <c r="CY2" s="1">
        <f t="shared" si="4"/>
        <v>9.979814709857914</v>
      </c>
      <c r="CZ2" s="1">
        <f t="shared" si="4"/>
        <v>10.018627491626233</v>
      </c>
      <c r="DA2" s="1">
        <f t="shared" si="4"/>
        <v>10.057440273394553</v>
      </c>
      <c r="DB2" s="1">
        <f t="shared" si="4"/>
        <v>10.096253055162872</v>
      </c>
      <c r="DC2" s="1">
        <f t="shared" si="4"/>
        <v>10.135065836931194</v>
      </c>
      <c r="DD2" s="1">
        <f t="shared" si="4"/>
        <v>10.173878618699511</v>
      </c>
      <c r="DE2" s="1">
        <f t="shared" si="4"/>
        <v>10.21269140046783</v>
      </c>
      <c r="DF2" s="1">
        <f t="shared" si="4"/>
        <v>10.251504182236152</v>
      </c>
      <c r="DG2" s="1">
        <f t="shared" si="4"/>
        <v>10.290316964004472</v>
      </c>
      <c r="DH2" s="1">
        <f t="shared" si="4"/>
        <v>10.329129745772791</v>
      </c>
      <c r="DI2" s="1">
        <f t="shared" si="4"/>
        <v>10.367942527541109</v>
      </c>
      <c r="DJ2" s="1">
        <f t="shared" si="4"/>
        <v>10.40675530930943</v>
      </c>
      <c r="DK2" s="1">
        <f t="shared" si="4"/>
        <v>10.44556809107775</v>
      </c>
      <c r="DL2" s="1">
        <f t="shared" si="4"/>
        <v>10.484380872846069</v>
      </c>
      <c r="DM2" s="1">
        <f t="shared" si="4"/>
        <v>10.523193654614387</v>
      </c>
      <c r="DN2" s="1">
        <f t="shared" si="4"/>
        <v>10.562006436382706</v>
      </c>
      <c r="DO2" s="1">
        <f aca="true" t="shared" si="5" ref="DO2:EG2">(DN5+(Fv*t))/((ram_csa*DN13*no_of_rams*1000)+(Vp))</f>
        <v>10.600819218151026</v>
      </c>
      <c r="DP2" s="1">
        <f t="shared" si="5"/>
        <v>10.639631999919347</v>
      </c>
      <c r="DQ2" s="1">
        <f t="shared" si="5"/>
        <v>10.678444781687666</v>
      </c>
      <c r="DR2" s="1">
        <f t="shared" si="5"/>
        <v>10.717257563455986</v>
      </c>
      <c r="DS2" s="1">
        <f t="shared" si="5"/>
        <v>10.756070345224307</v>
      </c>
      <c r="DT2" s="1">
        <f t="shared" si="5"/>
        <v>10.794883126992625</v>
      </c>
      <c r="DU2" s="1">
        <f t="shared" si="5"/>
        <v>10.833695908760944</v>
      </c>
      <c r="DV2" s="1">
        <f t="shared" si="5"/>
        <v>10.872508690529264</v>
      </c>
      <c r="DW2" s="1">
        <f t="shared" si="5"/>
        <v>10.911321472297585</v>
      </c>
      <c r="DX2" s="1">
        <f t="shared" si="5"/>
        <v>10.950134254065905</v>
      </c>
      <c r="DY2" s="1">
        <f t="shared" si="5"/>
        <v>10.988947035834222</v>
      </c>
      <c r="DZ2" s="1">
        <f t="shared" si="5"/>
        <v>11.027759817602544</v>
      </c>
      <c r="EA2" s="1">
        <f t="shared" si="5"/>
        <v>11.066572599370863</v>
      </c>
      <c r="EB2" s="1">
        <f t="shared" si="5"/>
        <v>11.105385381139182</v>
      </c>
      <c r="EC2" s="1">
        <f t="shared" si="5"/>
        <v>11.144198162907502</v>
      </c>
      <c r="ED2" s="1">
        <f t="shared" si="5"/>
        <v>11.18301094467582</v>
      </c>
      <c r="EE2" s="1">
        <f t="shared" si="5"/>
        <v>11.221823726444143</v>
      </c>
      <c r="EF2" s="1">
        <f t="shared" si="5"/>
        <v>11.260636508212459</v>
      </c>
      <c r="EG2" s="1">
        <f t="shared" si="5"/>
        <v>11.29944928998078</v>
      </c>
    </row>
    <row r="3" spans="1:137" ht="12.75">
      <c r="A3" t="s">
        <v>13</v>
      </c>
      <c r="B3" s="1">
        <v>0</v>
      </c>
      <c r="C3" s="1">
        <f>((Vt*Pb)+B6)/(Vt+(Vp)+(ram_csa*B13*no_of_rams*1000))</f>
        <v>15.90972026482474</v>
      </c>
      <c r="D3" s="1">
        <f aca="true" t="shared" si="6" ref="D3:BO3">((Vt*Pb)+C6)/(Vt+(Vp)+(ram_csa*C13*no_of_rams*1000))</f>
        <v>15.676877058086689</v>
      </c>
      <c r="E3" s="1">
        <f t="shared" si="6"/>
        <v>15.350193461276573</v>
      </c>
      <c r="F3" s="1">
        <f t="shared" si="6"/>
        <v>14.967121089321347</v>
      </c>
      <c r="G3" s="1">
        <f t="shared" si="6"/>
        <v>14.548257068650386</v>
      </c>
      <c r="H3" s="1">
        <f t="shared" si="6"/>
        <v>14.10913268856177</v>
      </c>
      <c r="I3" s="1">
        <f t="shared" si="6"/>
        <v>13.74667428752046</v>
      </c>
      <c r="J3" s="1">
        <f t="shared" si="6"/>
        <v>13.378358144346274</v>
      </c>
      <c r="K3" s="1">
        <f t="shared" si="6"/>
        <v>13.010388317368653</v>
      </c>
      <c r="L3" s="1">
        <f t="shared" si="6"/>
        <v>12.647270336859837</v>
      </c>
      <c r="M3" s="1">
        <f t="shared" si="6"/>
        <v>12.292204577782043</v>
      </c>
      <c r="N3" s="1">
        <f t="shared" si="6"/>
        <v>11.947394558602241</v>
      </c>
      <c r="O3" s="1">
        <f t="shared" si="6"/>
        <v>11.614287623451942</v>
      </c>
      <c r="P3" s="1">
        <f t="shared" si="6"/>
        <v>11.293762019522763</v>
      </c>
      <c r="Q3" s="1">
        <f t="shared" si="6"/>
        <v>10.986271652427032</v>
      </c>
      <c r="R3" s="1">
        <f t="shared" si="6"/>
        <v>10.691957586787488</v>
      </c>
      <c r="S3" s="1">
        <f t="shared" si="6"/>
        <v>10.410733541316906</v>
      </c>
      <c r="T3" s="1">
        <f t="shared" si="6"/>
        <v>10.142351137509467</v>
      </c>
      <c r="U3" s="1">
        <f t="shared" si="6"/>
        <v>9.886449448462274</v>
      </c>
      <c r="V3" s="1">
        <f t="shared" si="6"/>
        <v>9.642592416655662</v>
      </c>
      <c r="W3" s="1">
        <f t="shared" si="6"/>
        <v>9.41029692839798</v>
      </c>
      <c r="X3" s="1">
        <f t="shared" si="6"/>
        <v>9.189053713614966</v>
      </c>
      <c r="Y3" s="1">
        <f t="shared" si="6"/>
        <v>8.97834275244741</v>
      </c>
      <c r="Z3" s="1">
        <f t="shared" si="6"/>
        <v>8.777644488782022</v>
      </c>
      <c r="AA3" s="1">
        <f t="shared" si="6"/>
        <v>8.586447853697134</v>
      </c>
      <c r="AB3" s="1">
        <f t="shared" si="6"/>
        <v>8.404255871072072</v>
      </c>
      <c r="AC3" s="1">
        <f t="shared" si="6"/>
        <v>8.230589438925616</v>
      </c>
      <c r="AD3" s="1">
        <f t="shared" si="6"/>
        <v>8.064989741957303</v>
      </c>
      <c r="AE3" s="1">
        <f t="shared" si="6"/>
        <v>7.907019644210917</v>
      </c>
      <c r="AF3" s="1">
        <f t="shared" si="6"/>
        <v>7.756264328657662</v>
      </c>
      <c r="AG3" s="1">
        <f t="shared" si="6"/>
        <v>7.6123313872657485</v>
      </c>
      <c r="AH3" s="1">
        <f t="shared" si="6"/>
        <v>7.474850516475091</v>
      </c>
      <c r="AI3" s="1">
        <f t="shared" si="6"/>
        <v>7.343472935596266</v>
      </c>
      <c r="AJ3" s="1">
        <f t="shared" si="6"/>
        <v>7.296802972444115</v>
      </c>
      <c r="AK3" s="1">
        <f t="shared" si="6"/>
        <v>7.335615754212435</v>
      </c>
      <c r="AL3" s="1">
        <f t="shared" si="6"/>
        <v>7.374428535980754</v>
      </c>
      <c r="AM3" s="1">
        <f t="shared" si="6"/>
        <v>7.413241317749074</v>
      </c>
      <c r="AN3" s="1">
        <f t="shared" si="6"/>
        <v>7.452054099517395</v>
      </c>
      <c r="AO3" s="1">
        <f t="shared" si="6"/>
        <v>7.490866881285714</v>
      </c>
      <c r="AP3" s="1">
        <f t="shared" si="6"/>
        <v>7.529679663054034</v>
      </c>
      <c r="AQ3" s="1">
        <f t="shared" si="6"/>
        <v>7.568492444822353</v>
      </c>
      <c r="AR3" s="1">
        <f t="shared" si="6"/>
        <v>7.6073052265906735</v>
      </c>
      <c r="AS3" s="1">
        <f t="shared" si="6"/>
        <v>7.646118008358994</v>
      </c>
      <c r="AT3" s="1">
        <f t="shared" si="6"/>
        <v>7.6849307901273125</v>
      </c>
      <c r="AU3" s="1">
        <f t="shared" si="6"/>
        <v>7.723743571895633</v>
      </c>
      <c r="AV3" s="1">
        <f t="shared" si="6"/>
        <v>7.7625563536639515</v>
      </c>
      <c r="AW3" s="1">
        <f t="shared" si="6"/>
        <v>7.801369135432272</v>
      </c>
      <c r="AX3" s="1">
        <f t="shared" si="6"/>
        <v>7.840181917200592</v>
      </c>
      <c r="AY3" s="1">
        <f t="shared" si="6"/>
        <v>7.878994698968912</v>
      </c>
      <c r="AZ3" s="1">
        <f t="shared" si="6"/>
        <v>7.91780748073723</v>
      </c>
      <c r="BA3" s="1">
        <f t="shared" si="6"/>
        <v>7.956620262505551</v>
      </c>
      <c r="BB3" s="1">
        <f t="shared" si="6"/>
        <v>7.995433044273871</v>
      </c>
      <c r="BC3" s="1">
        <f t="shared" si="6"/>
        <v>8.03424582604219</v>
      </c>
      <c r="BD3" s="1">
        <f t="shared" si="6"/>
        <v>8.073058607810509</v>
      </c>
      <c r="BE3" s="1">
        <f t="shared" si="6"/>
        <v>8.111871389578829</v>
      </c>
      <c r="BF3" s="1">
        <f t="shared" si="6"/>
        <v>8.15068417134715</v>
      </c>
      <c r="BG3" s="1">
        <f t="shared" si="6"/>
        <v>8.189496953115468</v>
      </c>
      <c r="BH3" s="1">
        <f t="shared" si="6"/>
        <v>8.228309734883787</v>
      </c>
      <c r="BI3" s="1">
        <f t="shared" si="6"/>
        <v>8.267122516652108</v>
      </c>
      <c r="BJ3" s="1">
        <f t="shared" si="6"/>
        <v>8.305935298420428</v>
      </c>
      <c r="BK3" s="1">
        <f t="shared" si="6"/>
        <v>8.344748080188747</v>
      </c>
      <c r="BL3" s="1">
        <f t="shared" si="6"/>
        <v>8.383560861957065</v>
      </c>
      <c r="BM3" s="1">
        <f t="shared" si="6"/>
        <v>8.422373643725386</v>
      </c>
      <c r="BN3" s="1">
        <f t="shared" si="6"/>
        <v>8.461186425493706</v>
      </c>
      <c r="BO3" s="1">
        <f t="shared" si="6"/>
        <v>8.499999207262025</v>
      </c>
      <c r="BP3" s="1">
        <f aca="true" t="shared" si="7" ref="BP3:CH3">((Vt*Pb)+BO6)/(Vt+(Vp)+(ram_csa*BO13*no_of_rams*1000))</f>
        <v>8.538811989030345</v>
      </c>
      <c r="BQ3" s="1">
        <f t="shared" si="7"/>
        <v>8.577624770798664</v>
      </c>
      <c r="BR3" s="1">
        <f t="shared" si="7"/>
        <v>8.616437552566985</v>
      </c>
      <c r="BS3" s="1">
        <f t="shared" si="7"/>
        <v>8.655250334335303</v>
      </c>
      <c r="BT3" s="1">
        <f t="shared" si="7"/>
        <v>8.694063116103623</v>
      </c>
      <c r="BU3" s="1">
        <f t="shared" si="7"/>
        <v>8.732875897871944</v>
      </c>
      <c r="BV3" s="1">
        <f t="shared" si="7"/>
        <v>8.771688679640263</v>
      </c>
      <c r="BW3" s="1">
        <f t="shared" si="7"/>
        <v>8.810501461408583</v>
      </c>
      <c r="BX3" s="1">
        <f t="shared" si="7"/>
        <v>8.8493142431769</v>
      </c>
      <c r="BY3" s="1">
        <f t="shared" si="7"/>
        <v>8.888127024945222</v>
      </c>
      <c r="BZ3" s="1">
        <f t="shared" si="7"/>
        <v>8.926939806713541</v>
      </c>
      <c r="CA3" s="1">
        <f t="shared" si="7"/>
        <v>8.96575258848186</v>
      </c>
      <c r="CB3" s="1">
        <f t="shared" si="7"/>
        <v>9.00456537025018</v>
      </c>
      <c r="CC3" s="1">
        <f t="shared" si="7"/>
        <v>9.0433781520185</v>
      </c>
      <c r="CD3" s="1">
        <f t="shared" si="7"/>
        <v>9.082190933786821</v>
      </c>
      <c r="CE3" s="1">
        <f t="shared" si="7"/>
        <v>9.121003715555139</v>
      </c>
      <c r="CF3" s="1">
        <f t="shared" si="7"/>
        <v>9.159816497323458</v>
      </c>
      <c r="CG3" s="1">
        <f t="shared" si="7"/>
        <v>9.19862927909178</v>
      </c>
      <c r="CH3" s="1">
        <f t="shared" si="7"/>
        <v>9.237442060860099</v>
      </c>
      <c r="CI3" s="1">
        <f aca="true" t="shared" si="8" ref="CI3:DN3">((Vt*Pb)+CH6)/(Vt+(Vp)+(ram_csa*CH13*no_of_rams*1000))</f>
        <v>9.276254842628418</v>
      </c>
      <c r="CJ3" s="1">
        <f t="shared" si="8"/>
        <v>9.315067624396736</v>
      </c>
      <c r="CK3" s="1">
        <f t="shared" si="8"/>
        <v>9.353880406165057</v>
      </c>
      <c r="CL3" s="1">
        <f t="shared" si="8"/>
        <v>9.392693187933377</v>
      </c>
      <c r="CM3" s="1">
        <f t="shared" si="8"/>
        <v>9.431505969701696</v>
      </c>
      <c r="CN3" s="1">
        <f t="shared" si="8"/>
        <v>9.470318751470016</v>
      </c>
      <c r="CO3" s="1">
        <f t="shared" si="8"/>
        <v>9.509131533238335</v>
      </c>
      <c r="CP3" s="1">
        <f t="shared" si="8"/>
        <v>9.547944315006657</v>
      </c>
      <c r="CQ3" s="1">
        <f t="shared" si="8"/>
        <v>9.586757096774974</v>
      </c>
      <c r="CR3" s="1">
        <f t="shared" si="8"/>
        <v>9.625569878543294</v>
      </c>
      <c r="CS3" s="1">
        <f t="shared" si="8"/>
        <v>9.664382660311613</v>
      </c>
      <c r="CT3" s="1">
        <f t="shared" si="8"/>
        <v>9.703195442079934</v>
      </c>
      <c r="CU3" s="1">
        <f t="shared" si="8"/>
        <v>9.742008223848254</v>
      </c>
      <c r="CV3" s="1">
        <f t="shared" si="8"/>
        <v>9.780821005616572</v>
      </c>
      <c r="CW3" s="1">
        <f t="shared" si="8"/>
        <v>9.819633787384893</v>
      </c>
      <c r="CX3" s="1">
        <f t="shared" si="8"/>
        <v>9.858446569153212</v>
      </c>
      <c r="CY3" s="1">
        <f t="shared" si="8"/>
        <v>9.897259350921532</v>
      </c>
      <c r="CZ3" s="1">
        <f t="shared" si="8"/>
        <v>9.936072132689851</v>
      </c>
      <c r="DA3" s="1">
        <f t="shared" si="8"/>
        <v>9.97488491445817</v>
      </c>
      <c r="DB3" s="1">
        <f t="shared" si="8"/>
        <v>10.013697696226492</v>
      </c>
      <c r="DC3" s="1">
        <f t="shared" si="8"/>
        <v>10.05251047799481</v>
      </c>
      <c r="DD3" s="1">
        <f t="shared" si="8"/>
        <v>10.09132325976313</v>
      </c>
      <c r="DE3" s="1">
        <f t="shared" si="8"/>
        <v>10.130136041531449</v>
      </c>
      <c r="DF3" s="1">
        <f t="shared" si="8"/>
        <v>10.16894882329977</v>
      </c>
      <c r="DG3" s="1">
        <f t="shared" si="8"/>
        <v>10.20776160506809</v>
      </c>
      <c r="DH3" s="1">
        <f t="shared" si="8"/>
        <v>10.246574386836407</v>
      </c>
      <c r="DI3" s="1">
        <f t="shared" si="8"/>
        <v>10.285387168604728</v>
      </c>
      <c r="DJ3" s="1">
        <f t="shared" si="8"/>
        <v>10.324199950373048</v>
      </c>
      <c r="DK3" s="1">
        <f t="shared" si="8"/>
        <v>10.363012732141367</v>
      </c>
      <c r="DL3" s="1">
        <f t="shared" si="8"/>
        <v>10.401825513909687</v>
      </c>
      <c r="DM3" s="1">
        <f t="shared" si="8"/>
        <v>10.440638295678006</v>
      </c>
      <c r="DN3" s="1">
        <f t="shared" si="8"/>
        <v>10.479451077446326</v>
      </c>
      <c r="DO3" s="1">
        <f aca="true" t="shared" si="9" ref="DO3:EG3">((Vt*Pb)+DN6)/(Vt+(Vp)+(ram_csa*DN13*no_of_rams*1000))</f>
        <v>10.518263859214645</v>
      </c>
      <c r="DP3" s="1">
        <f t="shared" si="9"/>
        <v>10.557076640982965</v>
      </c>
      <c r="DQ3" s="1">
        <f t="shared" si="9"/>
        <v>10.595889422751284</v>
      </c>
      <c r="DR3" s="1">
        <f t="shared" si="9"/>
        <v>10.634702204519606</v>
      </c>
      <c r="DS3" s="1">
        <f t="shared" si="9"/>
        <v>10.673514986287923</v>
      </c>
      <c r="DT3" s="1">
        <f t="shared" si="9"/>
        <v>10.712327768056243</v>
      </c>
      <c r="DU3" s="1">
        <f t="shared" si="9"/>
        <v>10.751140549824564</v>
      </c>
      <c r="DV3" s="1">
        <f t="shared" si="9"/>
        <v>10.789953331592884</v>
      </c>
      <c r="DW3" s="1">
        <f t="shared" si="9"/>
        <v>10.828766113361203</v>
      </c>
      <c r="DX3" s="1">
        <f t="shared" si="9"/>
        <v>10.86757889512952</v>
      </c>
      <c r="DY3" s="1">
        <f t="shared" si="9"/>
        <v>10.906391676897842</v>
      </c>
      <c r="DZ3" s="1">
        <f t="shared" si="9"/>
        <v>10.945204458666161</v>
      </c>
      <c r="EA3" s="1">
        <f t="shared" si="9"/>
        <v>10.984017240434481</v>
      </c>
      <c r="EB3" s="1">
        <f t="shared" si="9"/>
        <v>11.0228300222028</v>
      </c>
      <c r="EC3" s="1">
        <f t="shared" si="9"/>
        <v>11.06164280397112</v>
      </c>
      <c r="ED3" s="1">
        <f t="shared" si="9"/>
        <v>11.100455585739441</v>
      </c>
      <c r="EE3" s="1">
        <f t="shared" si="9"/>
        <v>11.139268367507759</v>
      </c>
      <c r="EF3" s="1">
        <f t="shared" si="9"/>
        <v>11.178081149276078</v>
      </c>
      <c r="EG3" s="1">
        <f t="shared" si="9"/>
        <v>11.2168939310444</v>
      </c>
    </row>
    <row r="4" spans="1:137" ht="12.75">
      <c r="A4" t="s">
        <v>14</v>
      </c>
      <c r="B4" s="1">
        <f>IF(MIN(B2,B3,Pb)&gt;PQ,MIN(B2-PQ,B3-PQ,Pb),MIN(B2,B3,Pb))</f>
        <v>0</v>
      </c>
      <c r="C4" s="1">
        <f>MIN(C2,C3,Pb)</f>
        <v>15.90972026482474</v>
      </c>
      <c r="D4" s="1">
        <f aca="true" t="shared" si="10" ref="D4:BO4">MIN(D2,D3,Pb)</f>
        <v>13.662952642168658</v>
      </c>
      <c r="E4" s="1">
        <f t="shared" si="10"/>
        <v>11.172277181683084</v>
      </c>
      <c r="F4" s="1">
        <f t="shared" si="10"/>
        <v>9.625867205496352</v>
      </c>
      <c r="G4" s="1">
        <f t="shared" si="10"/>
        <v>8.574299625063647</v>
      </c>
      <c r="H4" s="1">
        <f t="shared" si="10"/>
        <v>7.812026582745538</v>
      </c>
      <c r="I4" s="1">
        <f t="shared" si="10"/>
        <v>7.233264866832316</v>
      </c>
      <c r="J4" s="1">
        <f t="shared" si="10"/>
        <v>6.778278965497796</v>
      </c>
      <c r="K4" s="1">
        <f t="shared" si="10"/>
        <v>6.410830263326348</v>
      </c>
      <c r="L4" s="1">
        <f t="shared" si="10"/>
        <v>6.1076586362992185</v>
      </c>
      <c r="M4" s="1">
        <f t="shared" si="10"/>
        <v>5.853141434296071</v>
      </c>
      <c r="N4" s="1">
        <f t="shared" si="10"/>
        <v>5.636388262038288</v>
      </c>
      <c r="O4" s="1">
        <f t="shared" si="10"/>
        <v>5.4495687412727385</v>
      </c>
      <c r="P4" s="1">
        <f t="shared" si="10"/>
        <v>5.286903449753322</v>
      </c>
      <c r="Q4" s="1">
        <f t="shared" si="10"/>
        <v>5.144030224880132</v>
      </c>
      <c r="R4" s="1">
        <f t="shared" si="10"/>
        <v>5.017592352775777</v>
      </c>
      <c r="S4" s="1">
        <f t="shared" si="10"/>
        <v>4.904962910990761</v>
      </c>
      <c r="T4" s="1">
        <f t="shared" si="10"/>
        <v>4.80405541589809</v>
      </c>
      <c r="U4" s="1">
        <f t="shared" si="10"/>
        <v>4.7131907573338445</v>
      </c>
      <c r="V4" s="1">
        <f t="shared" si="10"/>
        <v>4.631001779373639</v>
      </c>
      <c r="W4" s="1">
        <f t="shared" si="10"/>
        <v>4.556363610346108</v>
      </c>
      <c r="X4" s="1">
        <f t="shared" si="10"/>
        <v>4.488341961972806</v>
      </c>
      <c r="Y4" s="1">
        <f t="shared" si="10"/>
        <v>4.4261541971057055</v>
      </c>
      <c r="Z4" s="1">
        <f t="shared" si="10"/>
        <v>4.36913962041623</v>
      </c>
      <c r="AA4" s="1">
        <f t="shared" si="10"/>
        <v>4.316736530912614</v>
      </c>
      <c r="AB4" s="1">
        <f t="shared" si="10"/>
        <v>4.268464299800271</v>
      </c>
      <c r="AC4" s="1">
        <f t="shared" si="10"/>
        <v>4.223909230014476</v>
      </c>
      <c r="AD4" s="1">
        <f t="shared" si="10"/>
        <v>4.182713294385294</v>
      </c>
      <c r="AE4" s="1">
        <f t="shared" si="10"/>
        <v>4.144565088373742</v>
      </c>
      <c r="AF4" s="1">
        <f t="shared" si="10"/>
        <v>4.109192503303031</v>
      </c>
      <c r="AG4" s="1">
        <f t="shared" si="10"/>
        <v>4.076356748469062</v>
      </c>
      <c r="AH4" s="1">
        <f t="shared" si="10"/>
        <v>4.045847439785894</v>
      </c>
      <c r="AI4" s="1">
        <f t="shared" si="10"/>
        <v>4.017478538420747</v>
      </c>
      <c r="AJ4" s="1">
        <f t="shared" si="10"/>
        <v>4.062415630719616</v>
      </c>
      <c r="AK4" s="1">
        <f t="shared" si="10"/>
        <v>4.183783771424317</v>
      </c>
      <c r="AL4" s="1">
        <f t="shared" si="10"/>
        <v>4.305151912129019</v>
      </c>
      <c r="AM4" s="1">
        <f t="shared" si="10"/>
        <v>4.4265200528337205</v>
      </c>
      <c r="AN4" s="1">
        <f t="shared" si="10"/>
        <v>4.547888193538422</v>
      </c>
      <c r="AO4" s="1">
        <f t="shared" si="10"/>
        <v>4.669256334243124</v>
      </c>
      <c r="AP4" s="1">
        <f t="shared" si="10"/>
        <v>4.790624474947825</v>
      </c>
      <c r="AQ4" s="1">
        <f t="shared" si="10"/>
        <v>4.911992615652527</v>
      </c>
      <c r="AR4" s="1">
        <f t="shared" si="10"/>
        <v>5.0333607563572285</v>
      </c>
      <c r="AS4" s="1">
        <f t="shared" si="10"/>
        <v>5.15472889706193</v>
      </c>
      <c r="AT4" s="1">
        <f t="shared" si="10"/>
        <v>5.276097037766631</v>
      </c>
      <c r="AU4" s="1">
        <f t="shared" si="10"/>
        <v>5.397465178471332</v>
      </c>
      <c r="AV4" s="1">
        <f t="shared" si="10"/>
        <v>5.518833319176033</v>
      </c>
      <c r="AW4" s="1">
        <f t="shared" si="10"/>
        <v>5.640201459880735</v>
      </c>
      <c r="AX4" s="1">
        <f t="shared" si="10"/>
        <v>5.761569600585435</v>
      </c>
      <c r="AY4" s="1">
        <f t="shared" si="10"/>
        <v>5.882937741290137</v>
      </c>
      <c r="AZ4" s="1">
        <f t="shared" si="10"/>
        <v>6.004305881994838</v>
      </c>
      <c r="BA4" s="1">
        <f t="shared" si="10"/>
        <v>6.125674022699539</v>
      </c>
      <c r="BB4" s="1">
        <f t="shared" si="10"/>
        <v>6.24704216340424</v>
      </c>
      <c r="BC4" s="1">
        <f t="shared" si="10"/>
        <v>6.3684103041089415</v>
      </c>
      <c r="BD4" s="1">
        <f t="shared" si="10"/>
        <v>6.489778444813642</v>
      </c>
      <c r="BE4" s="1">
        <f t="shared" si="10"/>
        <v>6.611146585518344</v>
      </c>
      <c r="BF4" s="1">
        <f t="shared" si="10"/>
        <v>6.7325147262230445</v>
      </c>
      <c r="BG4" s="1">
        <f t="shared" si="10"/>
        <v>6.853882866927746</v>
      </c>
      <c r="BH4" s="1">
        <f t="shared" si="10"/>
        <v>6.975251007632447</v>
      </c>
      <c r="BI4" s="1">
        <f t="shared" si="10"/>
        <v>7.096619148337148</v>
      </c>
      <c r="BJ4" s="1">
        <f t="shared" si="10"/>
        <v>7.217987289041849</v>
      </c>
      <c r="BK4" s="1">
        <f t="shared" si="10"/>
        <v>7.339355429746551</v>
      </c>
      <c r="BL4" s="1">
        <f t="shared" si="10"/>
        <v>7.460723570451251</v>
      </c>
      <c r="BM4" s="1">
        <f t="shared" si="10"/>
        <v>7.582091711155953</v>
      </c>
      <c r="BN4" s="1">
        <f t="shared" si="10"/>
        <v>7.703459851860654</v>
      </c>
      <c r="BO4" s="1">
        <f t="shared" si="10"/>
        <v>7.824827992565355</v>
      </c>
      <c r="BP4" s="1">
        <f aca="true" t="shared" si="11" ref="BP4:EA4">MIN(BP2,BP3,Pb)</f>
        <v>7.946196133270056</v>
      </c>
      <c r="BQ4" s="1">
        <f t="shared" si="11"/>
        <v>8.067564273974757</v>
      </c>
      <c r="BR4" s="1">
        <f t="shared" si="11"/>
        <v>8.188932414679458</v>
      </c>
      <c r="BS4" s="1">
        <f t="shared" si="11"/>
        <v>8.31030055538416</v>
      </c>
      <c r="BT4" s="1">
        <f t="shared" si="11"/>
        <v>8.431668696088861</v>
      </c>
      <c r="BU4" s="1">
        <f t="shared" si="11"/>
        <v>8.553036836793561</v>
      </c>
      <c r="BV4" s="1">
        <f t="shared" si="11"/>
        <v>8.674404977498263</v>
      </c>
      <c r="BW4" s="1">
        <f t="shared" si="11"/>
        <v>8.795773118202964</v>
      </c>
      <c r="BX4" s="1">
        <f t="shared" si="11"/>
        <v>8.8493142431769</v>
      </c>
      <c r="BY4" s="1">
        <f t="shared" si="11"/>
        <v>8.888127024945222</v>
      </c>
      <c r="BZ4" s="1">
        <f t="shared" si="11"/>
        <v>8.926939806713541</v>
      </c>
      <c r="CA4" s="1">
        <f t="shared" si="11"/>
        <v>8.96575258848186</v>
      </c>
      <c r="CB4" s="1">
        <f t="shared" si="11"/>
        <v>9.00456537025018</v>
      </c>
      <c r="CC4" s="1">
        <f t="shared" si="11"/>
        <v>9.0433781520185</v>
      </c>
      <c r="CD4" s="1">
        <f t="shared" si="11"/>
        <v>9.082190933786821</v>
      </c>
      <c r="CE4" s="1">
        <f t="shared" si="11"/>
        <v>9.121003715555139</v>
      </c>
      <c r="CF4" s="1">
        <f t="shared" si="11"/>
        <v>9.159816497323458</v>
      </c>
      <c r="CG4" s="1">
        <f t="shared" si="11"/>
        <v>9.19862927909178</v>
      </c>
      <c r="CH4" s="1">
        <f t="shared" si="11"/>
        <v>9.237442060860099</v>
      </c>
      <c r="CI4" s="1">
        <f t="shared" si="11"/>
        <v>9.276254842628418</v>
      </c>
      <c r="CJ4" s="1">
        <f t="shared" si="11"/>
        <v>9.315067624396736</v>
      </c>
      <c r="CK4" s="1">
        <f t="shared" si="11"/>
        <v>9.353880406165057</v>
      </c>
      <c r="CL4" s="1">
        <f t="shared" si="11"/>
        <v>9.392693187933377</v>
      </c>
      <c r="CM4" s="1">
        <f t="shared" si="11"/>
        <v>9.431505969701696</v>
      </c>
      <c r="CN4" s="1">
        <f t="shared" si="11"/>
        <v>9.470318751470016</v>
      </c>
      <c r="CO4" s="1">
        <f t="shared" si="11"/>
        <v>9.509131533238335</v>
      </c>
      <c r="CP4" s="1">
        <f t="shared" si="11"/>
        <v>9.547944315006657</v>
      </c>
      <c r="CQ4" s="1">
        <f t="shared" si="11"/>
        <v>9.586757096774974</v>
      </c>
      <c r="CR4" s="1">
        <f t="shared" si="11"/>
        <v>9.625569878543294</v>
      </c>
      <c r="CS4" s="1">
        <f t="shared" si="11"/>
        <v>9.664382660311613</v>
      </c>
      <c r="CT4" s="1">
        <f t="shared" si="11"/>
        <v>9.703195442079934</v>
      </c>
      <c r="CU4" s="1">
        <f t="shared" si="11"/>
        <v>9.742008223848254</v>
      </c>
      <c r="CV4" s="1">
        <f t="shared" si="11"/>
        <v>9.780821005616572</v>
      </c>
      <c r="CW4" s="1">
        <f t="shared" si="11"/>
        <v>9.819633787384893</v>
      </c>
      <c r="CX4" s="1">
        <f t="shared" si="11"/>
        <v>9.858446569153212</v>
      </c>
      <c r="CY4" s="1">
        <f t="shared" si="11"/>
        <v>9.897259350921532</v>
      </c>
      <c r="CZ4" s="1">
        <f t="shared" si="11"/>
        <v>9.936072132689851</v>
      </c>
      <c r="DA4" s="1">
        <f t="shared" si="11"/>
        <v>9.97488491445817</v>
      </c>
      <c r="DB4" s="1">
        <f t="shared" si="11"/>
        <v>10.013697696226492</v>
      </c>
      <c r="DC4" s="1">
        <f t="shared" si="11"/>
        <v>10.05251047799481</v>
      </c>
      <c r="DD4" s="1">
        <f t="shared" si="11"/>
        <v>10.09132325976313</v>
      </c>
      <c r="DE4" s="1">
        <f t="shared" si="11"/>
        <v>10.130136041531449</v>
      </c>
      <c r="DF4" s="1">
        <f t="shared" si="11"/>
        <v>10.16894882329977</v>
      </c>
      <c r="DG4" s="1">
        <f t="shared" si="11"/>
        <v>10.20776160506809</v>
      </c>
      <c r="DH4" s="1">
        <f t="shared" si="11"/>
        <v>10.246574386836407</v>
      </c>
      <c r="DI4" s="1">
        <f t="shared" si="11"/>
        <v>10.285387168604728</v>
      </c>
      <c r="DJ4" s="1">
        <f t="shared" si="11"/>
        <v>10.324199950373048</v>
      </c>
      <c r="DK4" s="1">
        <f t="shared" si="11"/>
        <v>10.363012732141367</v>
      </c>
      <c r="DL4" s="1">
        <f t="shared" si="11"/>
        <v>10.401825513909687</v>
      </c>
      <c r="DM4" s="1">
        <f t="shared" si="11"/>
        <v>10.440638295678006</v>
      </c>
      <c r="DN4" s="1">
        <f t="shared" si="11"/>
        <v>10.479451077446326</v>
      </c>
      <c r="DO4" s="1">
        <f t="shared" si="11"/>
        <v>10.518263859214645</v>
      </c>
      <c r="DP4" s="1">
        <f t="shared" si="11"/>
        <v>10.557076640982965</v>
      </c>
      <c r="DQ4" s="1">
        <f t="shared" si="11"/>
        <v>10.595889422751284</v>
      </c>
      <c r="DR4" s="1">
        <f t="shared" si="11"/>
        <v>10.634702204519606</v>
      </c>
      <c r="DS4" s="1">
        <f t="shared" si="11"/>
        <v>10.673514986287923</v>
      </c>
      <c r="DT4" s="1">
        <f t="shared" si="11"/>
        <v>10.712327768056243</v>
      </c>
      <c r="DU4" s="1">
        <f t="shared" si="11"/>
        <v>10.751140549824564</v>
      </c>
      <c r="DV4" s="1">
        <f t="shared" si="11"/>
        <v>10.789953331592884</v>
      </c>
      <c r="DW4" s="1">
        <f t="shared" si="11"/>
        <v>10.828766113361203</v>
      </c>
      <c r="DX4" s="1">
        <f t="shared" si="11"/>
        <v>10.86757889512952</v>
      </c>
      <c r="DY4" s="1">
        <f t="shared" si="11"/>
        <v>10.906391676897842</v>
      </c>
      <c r="DZ4" s="1">
        <f t="shared" si="11"/>
        <v>10.945204458666161</v>
      </c>
      <c r="EA4" s="1">
        <f t="shared" si="11"/>
        <v>10.984017240434481</v>
      </c>
      <c r="EB4" s="1">
        <f aca="true" t="shared" si="12" ref="EB4:EG4">MIN(EB2,EB3,Pb)</f>
        <v>11.0228300222028</v>
      </c>
      <c r="EC4" s="1">
        <f t="shared" si="12"/>
        <v>11.06164280397112</v>
      </c>
      <c r="ED4" s="1">
        <f t="shared" si="12"/>
        <v>11.100455585739441</v>
      </c>
      <c r="EE4" s="1">
        <f t="shared" si="12"/>
        <v>11.139268367507759</v>
      </c>
      <c r="EF4" s="1">
        <f t="shared" si="12"/>
        <v>11.178081149276078</v>
      </c>
      <c r="EG4" s="1">
        <f t="shared" si="12"/>
        <v>11.2168939310444</v>
      </c>
    </row>
    <row r="5" spans="1:137" ht="12.75">
      <c r="A5" t="s">
        <v>15</v>
      </c>
      <c r="B5" s="1">
        <v>0</v>
      </c>
      <c r="C5" s="1">
        <f>C4*((ram_csa*B13*no_of_rams*1000)+Vp)</f>
        <v>0.09027973517525976</v>
      </c>
      <c r="D5" s="1">
        <f aca="true" t="shared" si="13" ref="D5:BO5">D4*((ram_csa*C13*no_of_rams*1000)+Vp)</f>
        <v>0.2816130685085931</v>
      </c>
      <c r="E5" s="1">
        <f t="shared" si="13"/>
        <v>0.47294640184192643</v>
      </c>
      <c r="F5" s="1">
        <f t="shared" si="13"/>
        <v>0.6642797351752597</v>
      </c>
      <c r="G5" s="1">
        <f t="shared" si="13"/>
        <v>0.8556130685085931</v>
      </c>
      <c r="H5" s="1">
        <f t="shared" si="13"/>
        <v>1.0469464018419263</v>
      </c>
      <c r="I5" s="1">
        <f t="shared" si="13"/>
        <v>1.2382797351752597</v>
      </c>
      <c r="J5" s="1">
        <f t="shared" si="13"/>
        <v>1.429613068508593</v>
      </c>
      <c r="K5" s="1">
        <f t="shared" si="13"/>
        <v>1.6209464018419264</v>
      </c>
      <c r="L5" s="1">
        <f t="shared" si="13"/>
        <v>1.8122797351752598</v>
      </c>
      <c r="M5" s="1">
        <f t="shared" si="13"/>
        <v>2.003613068508593</v>
      </c>
      <c r="N5" s="1">
        <f t="shared" si="13"/>
        <v>2.1949464018419262</v>
      </c>
      <c r="O5" s="1">
        <f t="shared" si="13"/>
        <v>2.3862797351752594</v>
      </c>
      <c r="P5" s="1">
        <f t="shared" si="13"/>
        <v>2.5776130685085925</v>
      </c>
      <c r="Q5" s="1">
        <f t="shared" si="13"/>
        <v>2.7689464018419256</v>
      </c>
      <c r="R5" s="1">
        <f t="shared" si="13"/>
        <v>2.9602797351752588</v>
      </c>
      <c r="S5" s="1">
        <f t="shared" si="13"/>
        <v>3.151613068508592</v>
      </c>
      <c r="T5" s="1">
        <f t="shared" si="13"/>
        <v>3.342946401841925</v>
      </c>
      <c r="U5" s="1">
        <f t="shared" si="13"/>
        <v>3.534279735175258</v>
      </c>
      <c r="V5" s="1">
        <f t="shared" si="13"/>
        <v>3.7256130685085913</v>
      </c>
      <c r="W5" s="1">
        <f t="shared" si="13"/>
        <v>3.916946401841924</v>
      </c>
      <c r="X5" s="1">
        <f t="shared" si="13"/>
        <v>4.108279735175257</v>
      </c>
      <c r="Y5" s="1">
        <f t="shared" si="13"/>
        <v>4.299613068508591</v>
      </c>
      <c r="Z5" s="1">
        <f t="shared" si="13"/>
        <v>4.490946401841924</v>
      </c>
      <c r="AA5" s="1">
        <f t="shared" si="13"/>
        <v>4.682279735175258</v>
      </c>
      <c r="AB5" s="1">
        <f t="shared" si="13"/>
        <v>4.873613068508591</v>
      </c>
      <c r="AC5" s="1">
        <f t="shared" si="13"/>
        <v>5.064946401841925</v>
      </c>
      <c r="AD5" s="1">
        <f t="shared" si="13"/>
        <v>5.256279735175259</v>
      </c>
      <c r="AE5" s="1">
        <f t="shared" si="13"/>
        <v>5.447613068508592</v>
      </c>
      <c r="AF5" s="1">
        <f t="shared" si="13"/>
        <v>5.638946401841926</v>
      </c>
      <c r="AG5" s="1">
        <f t="shared" si="13"/>
        <v>5.830279735175259</v>
      </c>
      <c r="AH5" s="1">
        <f t="shared" si="13"/>
        <v>6.021613068508593</v>
      </c>
      <c r="AI5" s="1">
        <f t="shared" si="13"/>
        <v>6.2129464018419265</v>
      </c>
      <c r="AJ5" s="1">
        <f t="shared" si="13"/>
        <v>6.40427973517526</v>
      </c>
      <c r="AK5" s="1">
        <f t="shared" si="13"/>
        <v>6.595613068508594</v>
      </c>
      <c r="AL5" s="1">
        <f t="shared" si="13"/>
        <v>6.786946401841926</v>
      </c>
      <c r="AM5" s="1">
        <f t="shared" si="13"/>
        <v>6.97827973517526</v>
      </c>
      <c r="AN5" s="1">
        <f t="shared" si="13"/>
        <v>7.1696130685085935</v>
      </c>
      <c r="AO5" s="1">
        <f t="shared" si="13"/>
        <v>7.360946401841927</v>
      </c>
      <c r="AP5" s="1">
        <f t="shared" si="13"/>
        <v>7.55227973517526</v>
      </c>
      <c r="AQ5" s="1">
        <f t="shared" si="13"/>
        <v>7.743613068508593</v>
      </c>
      <c r="AR5" s="1">
        <f t="shared" si="13"/>
        <v>7.934946401841927</v>
      </c>
      <c r="AS5" s="1">
        <f t="shared" si="13"/>
        <v>8.12627973517526</v>
      </c>
      <c r="AT5" s="1">
        <f t="shared" si="13"/>
        <v>8.317613068508592</v>
      </c>
      <c r="AU5" s="1">
        <f t="shared" si="13"/>
        <v>8.508946401841925</v>
      </c>
      <c r="AV5" s="1">
        <f t="shared" si="13"/>
        <v>8.700279735175258</v>
      </c>
      <c r="AW5" s="1">
        <f t="shared" si="13"/>
        <v>8.89161306850859</v>
      </c>
      <c r="AX5" s="1">
        <f t="shared" si="13"/>
        <v>9.082946401841923</v>
      </c>
      <c r="AY5" s="1">
        <f t="shared" si="13"/>
        <v>9.274279735175256</v>
      </c>
      <c r="AZ5" s="1">
        <f t="shared" si="13"/>
        <v>9.465613068508588</v>
      </c>
      <c r="BA5" s="1">
        <f t="shared" si="13"/>
        <v>9.656946401841921</v>
      </c>
      <c r="BB5" s="1">
        <f t="shared" si="13"/>
        <v>9.848279735175254</v>
      </c>
      <c r="BC5" s="1">
        <f t="shared" si="13"/>
        <v>10.039613068508586</v>
      </c>
      <c r="BD5" s="1">
        <f t="shared" si="13"/>
        <v>10.23094640184192</v>
      </c>
      <c r="BE5" s="1">
        <f t="shared" si="13"/>
        <v>10.422279735175252</v>
      </c>
      <c r="BF5" s="1">
        <f t="shared" si="13"/>
        <v>10.613613068508585</v>
      </c>
      <c r="BG5" s="1">
        <f t="shared" si="13"/>
        <v>10.804946401841917</v>
      </c>
      <c r="BH5" s="1">
        <f t="shared" si="13"/>
        <v>10.99627973517525</v>
      </c>
      <c r="BI5" s="1">
        <f t="shared" si="13"/>
        <v>11.187613068508583</v>
      </c>
      <c r="BJ5" s="1">
        <f t="shared" si="13"/>
        <v>11.378946401841915</v>
      </c>
      <c r="BK5" s="1">
        <f t="shared" si="13"/>
        <v>11.570279735175248</v>
      </c>
      <c r="BL5" s="1">
        <f t="shared" si="13"/>
        <v>11.76161306850858</v>
      </c>
      <c r="BM5" s="1">
        <f t="shared" si="13"/>
        <v>11.952946401841913</v>
      </c>
      <c r="BN5" s="1">
        <f t="shared" si="13"/>
        <v>12.144279735175246</v>
      </c>
      <c r="BO5" s="1">
        <f t="shared" si="13"/>
        <v>12.335613068508579</v>
      </c>
      <c r="BP5" s="1">
        <f aca="true" t="shared" si="14" ref="BP5:CH5">BP4*((ram_csa*BO13*no_of_rams*1000)+Vp)</f>
        <v>12.526946401841911</v>
      </c>
      <c r="BQ5" s="1">
        <f t="shared" si="14"/>
        <v>12.718279735175242</v>
      </c>
      <c r="BR5" s="1">
        <f t="shared" si="14"/>
        <v>12.909613068508577</v>
      </c>
      <c r="BS5" s="1">
        <f t="shared" si="14"/>
        <v>13.10094640184191</v>
      </c>
      <c r="BT5" s="1">
        <f t="shared" si="14"/>
        <v>13.292279735175242</v>
      </c>
      <c r="BU5" s="1">
        <f t="shared" si="14"/>
        <v>13.483613068508573</v>
      </c>
      <c r="BV5" s="1">
        <f t="shared" si="14"/>
        <v>13.674946401841908</v>
      </c>
      <c r="BW5" s="1">
        <f t="shared" si="14"/>
        <v>13.86627973517524</v>
      </c>
      <c r="BX5" s="1">
        <f t="shared" si="14"/>
        <v>13.950685756823086</v>
      </c>
      <c r="BY5" s="1">
        <f t="shared" si="14"/>
        <v>14.011872975054768</v>
      </c>
      <c r="BZ5" s="1">
        <f t="shared" si="14"/>
        <v>14.073060193286448</v>
      </c>
      <c r="CA5" s="1">
        <f t="shared" si="14"/>
        <v>14.134247411518128</v>
      </c>
      <c r="CB5" s="1">
        <f t="shared" si="14"/>
        <v>14.195434629749808</v>
      </c>
      <c r="CC5" s="1">
        <f t="shared" si="14"/>
        <v>14.256621847981487</v>
      </c>
      <c r="CD5" s="1">
        <f t="shared" si="14"/>
        <v>14.31780906621317</v>
      </c>
      <c r="CE5" s="1">
        <f t="shared" si="14"/>
        <v>14.378996284444847</v>
      </c>
      <c r="CF5" s="1">
        <f t="shared" si="14"/>
        <v>14.440183502676527</v>
      </c>
      <c r="CG5" s="1">
        <f t="shared" si="14"/>
        <v>14.50137072090821</v>
      </c>
      <c r="CH5" s="1">
        <f t="shared" si="14"/>
        <v>14.56255793913989</v>
      </c>
      <c r="CI5" s="1">
        <f aca="true" t="shared" si="15" ref="CI5:DN5">CI4*((ram_csa*CH13*no_of_rams*1000)+Vp)</f>
        <v>14.62374515737157</v>
      </c>
      <c r="CJ5" s="1">
        <f t="shared" si="15"/>
        <v>14.684932375603246</v>
      </c>
      <c r="CK5" s="1">
        <f t="shared" si="15"/>
        <v>14.746119593834928</v>
      </c>
      <c r="CL5" s="1">
        <f t="shared" si="15"/>
        <v>14.807306812066608</v>
      </c>
      <c r="CM5" s="1">
        <f t="shared" si="15"/>
        <v>14.868494030298288</v>
      </c>
      <c r="CN5" s="1">
        <f t="shared" si="15"/>
        <v>14.929681248529969</v>
      </c>
      <c r="CO5" s="1">
        <f t="shared" si="15"/>
        <v>14.990868466761647</v>
      </c>
      <c r="CP5" s="1">
        <f t="shared" si="15"/>
        <v>15.05205568499333</v>
      </c>
      <c r="CQ5" s="1">
        <f t="shared" si="15"/>
        <v>15.113242903225007</v>
      </c>
      <c r="CR5" s="1">
        <f t="shared" si="15"/>
        <v>15.174430121456687</v>
      </c>
      <c r="CS5" s="1">
        <f t="shared" si="15"/>
        <v>15.235617339688368</v>
      </c>
      <c r="CT5" s="1">
        <f t="shared" si="15"/>
        <v>15.29680455792005</v>
      </c>
      <c r="CU5" s="1">
        <f t="shared" si="15"/>
        <v>15.35799177615173</v>
      </c>
      <c r="CV5" s="1">
        <f t="shared" si="15"/>
        <v>15.419178994383406</v>
      </c>
      <c r="CW5" s="1">
        <f t="shared" si="15"/>
        <v>15.480366212615088</v>
      </c>
      <c r="CX5" s="1">
        <f t="shared" si="15"/>
        <v>15.541553430846768</v>
      </c>
      <c r="CY5" s="1">
        <f t="shared" si="15"/>
        <v>15.602740649078449</v>
      </c>
      <c r="CZ5" s="1">
        <f t="shared" si="15"/>
        <v>15.663927867310129</v>
      </c>
      <c r="DA5" s="1">
        <f t="shared" si="15"/>
        <v>15.725115085541809</v>
      </c>
      <c r="DB5" s="1">
        <f t="shared" si="15"/>
        <v>15.78630230377349</v>
      </c>
      <c r="DC5" s="1">
        <f t="shared" si="15"/>
        <v>15.847489522005167</v>
      </c>
      <c r="DD5" s="1">
        <f t="shared" si="15"/>
        <v>15.908676740236848</v>
      </c>
      <c r="DE5" s="1">
        <f t="shared" si="15"/>
        <v>15.969863958468528</v>
      </c>
      <c r="DF5" s="1">
        <f t="shared" si="15"/>
        <v>16.03105117670021</v>
      </c>
      <c r="DG5" s="1">
        <f t="shared" si="15"/>
        <v>16.09223839493189</v>
      </c>
      <c r="DH5" s="1">
        <f t="shared" si="15"/>
        <v>16.153425613163567</v>
      </c>
      <c r="DI5" s="1">
        <f t="shared" si="15"/>
        <v>16.21461283139525</v>
      </c>
      <c r="DJ5" s="1">
        <f t="shared" si="15"/>
        <v>16.27580004962693</v>
      </c>
      <c r="DK5" s="1">
        <f t="shared" si="15"/>
        <v>16.33698726785861</v>
      </c>
      <c r="DL5" s="1">
        <f t="shared" si="15"/>
        <v>16.398174486090287</v>
      </c>
      <c r="DM5" s="1">
        <f t="shared" si="15"/>
        <v>16.459361704321967</v>
      </c>
      <c r="DN5" s="1">
        <f t="shared" si="15"/>
        <v>16.520548922553647</v>
      </c>
      <c r="DO5" s="1">
        <f aca="true" t="shared" si="16" ref="DO5:EG5">DO4*((ram_csa*DN13*no_of_rams*1000)+Vp)</f>
        <v>16.581736140785328</v>
      </c>
      <c r="DP5" s="1">
        <f t="shared" si="16"/>
        <v>16.642923359017008</v>
      </c>
      <c r="DQ5" s="1">
        <f t="shared" si="16"/>
        <v>16.704110577248688</v>
      </c>
      <c r="DR5" s="1">
        <f t="shared" si="16"/>
        <v>16.76529779548037</v>
      </c>
      <c r="DS5" s="1">
        <f t="shared" si="16"/>
        <v>16.82648501371205</v>
      </c>
      <c r="DT5" s="1">
        <f t="shared" si="16"/>
        <v>16.88767223194373</v>
      </c>
      <c r="DU5" s="1">
        <f t="shared" si="16"/>
        <v>16.94885945017541</v>
      </c>
      <c r="DV5" s="1">
        <f t="shared" si="16"/>
        <v>17.01004666840709</v>
      </c>
      <c r="DW5" s="1">
        <f t="shared" si="16"/>
        <v>17.07123388663877</v>
      </c>
      <c r="DX5" s="1">
        <f t="shared" si="16"/>
        <v>17.132421104870446</v>
      </c>
      <c r="DY5" s="1">
        <f t="shared" si="16"/>
        <v>17.19360832310213</v>
      </c>
      <c r="DZ5" s="1">
        <f t="shared" si="16"/>
        <v>17.25479554133381</v>
      </c>
      <c r="EA5" s="1">
        <f t="shared" si="16"/>
        <v>17.31598275956549</v>
      </c>
      <c r="EB5" s="1">
        <f t="shared" si="16"/>
        <v>17.37716997779717</v>
      </c>
      <c r="EC5" s="1">
        <f t="shared" si="16"/>
        <v>17.438357196028846</v>
      </c>
      <c r="ED5" s="1">
        <f t="shared" si="16"/>
        <v>17.49954441426053</v>
      </c>
      <c r="EE5" s="1">
        <f t="shared" si="16"/>
        <v>17.560731632492207</v>
      </c>
      <c r="EF5" s="1">
        <f t="shared" si="16"/>
        <v>17.621918850723887</v>
      </c>
      <c r="EG5" s="1">
        <f t="shared" si="16"/>
        <v>17.68310606895557</v>
      </c>
    </row>
    <row r="6" spans="1:137" ht="12.75">
      <c r="A6" t="s">
        <v>16</v>
      </c>
      <c r="B6" s="1">
        <v>0</v>
      </c>
      <c r="C6" s="1">
        <f>IF(B7&lt;Pb_low,(Fr*t)+B6,B6)</f>
        <v>0</v>
      </c>
      <c r="D6" s="1">
        <f aca="true" t="shared" si="17" ref="D6:BO6">IF(C7&lt;Pb_low,(Fr*t)+C6,C6)</f>
        <v>0</v>
      </c>
      <c r="E6" s="1">
        <f t="shared" si="17"/>
        <v>0</v>
      </c>
      <c r="F6" s="1">
        <f t="shared" si="17"/>
        <v>0</v>
      </c>
      <c r="G6" s="1">
        <f t="shared" si="17"/>
        <v>0</v>
      </c>
      <c r="H6" s="1">
        <f t="shared" si="17"/>
        <v>0.1</v>
      </c>
      <c r="I6" s="1">
        <f t="shared" si="17"/>
        <v>0.2</v>
      </c>
      <c r="J6" s="1">
        <f t="shared" si="17"/>
        <v>0.30000000000000004</v>
      </c>
      <c r="K6" s="1">
        <f t="shared" si="17"/>
        <v>0.4</v>
      </c>
      <c r="L6" s="1">
        <f t="shared" si="17"/>
        <v>0.5</v>
      </c>
      <c r="M6" s="1">
        <f t="shared" si="17"/>
        <v>0.6</v>
      </c>
      <c r="N6" s="1">
        <f t="shared" si="17"/>
        <v>0.7</v>
      </c>
      <c r="O6" s="1">
        <f t="shared" si="17"/>
        <v>0.7999999999999999</v>
      </c>
      <c r="P6" s="1">
        <f t="shared" si="17"/>
        <v>0.8999999999999999</v>
      </c>
      <c r="Q6" s="1">
        <f t="shared" si="17"/>
        <v>0.9999999999999999</v>
      </c>
      <c r="R6" s="1">
        <f t="shared" si="17"/>
        <v>1.0999999999999999</v>
      </c>
      <c r="S6" s="1">
        <f t="shared" si="17"/>
        <v>1.2</v>
      </c>
      <c r="T6" s="1">
        <f t="shared" si="17"/>
        <v>1.3</v>
      </c>
      <c r="U6" s="1">
        <f t="shared" si="17"/>
        <v>1.4000000000000001</v>
      </c>
      <c r="V6" s="1">
        <f t="shared" si="17"/>
        <v>1.5000000000000002</v>
      </c>
      <c r="W6" s="1">
        <f t="shared" si="17"/>
        <v>1.6000000000000003</v>
      </c>
      <c r="X6" s="1">
        <f t="shared" si="17"/>
        <v>1.7000000000000004</v>
      </c>
      <c r="Y6" s="1">
        <f t="shared" si="17"/>
        <v>1.8000000000000005</v>
      </c>
      <c r="Z6" s="1">
        <f t="shared" si="17"/>
        <v>1.9000000000000006</v>
      </c>
      <c r="AA6" s="1">
        <f t="shared" si="17"/>
        <v>2.0000000000000004</v>
      </c>
      <c r="AB6" s="1">
        <f t="shared" si="17"/>
        <v>2.1000000000000005</v>
      </c>
      <c r="AC6" s="1">
        <f t="shared" si="17"/>
        <v>2.2000000000000006</v>
      </c>
      <c r="AD6" s="1">
        <f t="shared" si="17"/>
        <v>2.3000000000000007</v>
      </c>
      <c r="AE6" s="1">
        <f t="shared" si="17"/>
        <v>2.400000000000001</v>
      </c>
      <c r="AF6" s="1">
        <f t="shared" si="17"/>
        <v>2.500000000000001</v>
      </c>
      <c r="AG6" s="1">
        <f t="shared" si="17"/>
        <v>2.600000000000001</v>
      </c>
      <c r="AH6" s="1">
        <f t="shared" si="17"/>
        <v>2.700000000000001</v>
      </c>
      <c r="AI6" s="1">
        <f t="shared" si="17"/>
        <v>2.800000000000001</v>
      </c>
      <c r="AJ6" s="1">
        <f t="shared" si="17"/>
        <v>2.9000000000000012</v>
      </c>
      <c r="AK6" s="1">
        <f t="shared" si="17"/>
        <v>3.0000000000000013</v>
      </c>
      <c r="AL6" s="1">
        <f t="shared" si="17"/>
        <v>3.1000000000000014</v>
      </c>
      <c r="AM6" s="1">
        <f t="shared" si="17"/>
        <v>3.2000000000000015</v>
      </c>
      <c r="AN6" s="1">
        <f t="shared" si="17"/>
        <v>3.3000000000000016</v>
      </c>
      <c r="AO6" s="1">
        <f t="shared" si="17"/>
        <v>3.4000000000000017</v>
      </c>
      <c r="AP6" s="1">
        <f t="shared" si="17"/>
        <v>3.5000000000000018</v>
      </c>
      <c r="AQ6" s="1">
        <f t="shared" si="17"/>
        <v>3.600000000000002</v>
      </c>
      <c r="AR6" s="1">
        <f t="shared" si="17"/>
        <v>3.700000000000002</v>
      </c>
      <c r="AS6" s="1">
        <f t="shared" si="17"/>
        <v>3.800000000000002</v>
      </c>
      <c r="AT6" s="1">
        <f t="shared" si="17"/>
        <v>3.900000000000002</v>
      </c>
      <c r="AU6" s="1">
        <f t="shared" si="17"/>
        <v>4.000000000000002</v>
      </c>
      <c r="AV6" s="1">
        <f t="shared" si="17"/>
        <v>4.100000000000001</v>
      </c>
      <c r="AW6" s="1">
        <f t="shared" si="17"/>
        <v>4.200000000000001</v>
      </c>
      <c r="AX6" s="1">
        <f t="shared" si="17"/>
        <v>4.300000000000001</v>
      </c>
      <c r="AY6" s="1">
        <f t="shared" si="17"/>
        <v>4.4</v>
      </c>
      <c r="AZ6" s="1">
        <f t="shared" si="17"/>
        <v>4.5</v>
      </c>
      <c r="BA6" s="1">
        <f t="shared" si="17"/>
        <v>4.6</v>
      </c>
      <c r="BB6" s="1">
        <f t="shared" si="17"/>
        <v>4.699999999999999</v>
      </c>
      <c r="BC6" s="1">
        <f t="shared" si="17"/>
        <v>4.799999999999999</v>
      </c>
      <c r="BD6" s="1">
        <f t="shared" si="17"/>
        <v>4.899999999999999</v>
      </c>
      <c r="BE6" s="1">
        <f t="shared" si="17"/>
        <v>4.999999999999998</v>
      </c>
      <c r="BF6" s="1">
        <f t="shared" si="17"/>
        <v>5.099999999999998</v>
      </c>
      <c r="BG6" s="1">
        <f t="shared" si="17"/>
        <v>5.1999999999999975</v>
      </c>
      <c r="BH6" s="1">
        <f t="shared" si="17"/>
        <v>5.299999999999997</v>
      </c>
      <c r="BI6" s="1">
        <f t="shared" si="17"/>
        <v>5.399999999999997</v>
      </c>
      <c r="BJ6" s="1">
        <f t="shared" si="17"/>
        <v>5.4999999999999964</v>
      </c>
      <c r="BK6" s="1">
        <f t="shared" si="17"/>
        <v>5.599999999999996</v>
      </c>
      <c r="BL6" s="1">
        <f t="shared" si="17"/>
        <v>5.699999999999996</v>
      </c>
      <c r="BM6" s="1">
        <f t="shared" si="17"/>
        <v>5.799999999999995</v>
      </c>
      <c r="BN6" s="1">
        <f t="shared" si="17"/>
        <v>5.899999999999995</v>
      </c>
      <c r="BO6" s="1">
        <f t="shared" si="17"/>
        <v>5.999999999999995</v>
      </c>
      <c r="BP6" s="1">
        <f aca="true" t="shared" si="18" ref="BP6:CH6">IF(BO7&lt;Pb_low,(Fr*t)+BO6,BO6)</f>
        <v>6.099999999999994</v>
      </c>
      <c r="BQ6" s="1">
        <f t="shared" si="18"/>
        <v>6.199999999999994</v>
      </c>
      <c r="BR6" s="1">
        <f t="shared" si="18"/>
        <v>6.299999999999994</v>
      </c>
      <c r="BS6" s="1">
        <f t="shared" si="18"/>
        <v>6.399999999999993</v>
      </c>
      <c r="BT6" s="1">
        <f t="shared" si="18"/>
        <v>6.499999999999993</v>
      </c>
      <c r="BU6" s="1">
        <f t="shared" si="18"/>
        <v>6.5999999999999925</v>
      </c>
      <c r="BV6" s="1">
        <f t="shared" si="18"/>
        <v>6.699999999999992</v>
      </c>
      <c r="BW6" s="1">
        <f t="shared" si="18"/>
        <v>6.799999999999992</v>
      </c>
      <c r="BX6" s="1">
        <f t="shared" si="18"/>
        <v>6.8999999999999915</v>
      </c>
      <c r="BY6" s="1">
        <f t="shared" si="18"/>
        <v>6.999999999999991</v>
      </c>
      <c r="BZ6" s="1">
        <f t="shared" si="18"/>
        <v>7.099999999999991</v>
      </c>
      <c r="CA6" s="1">
        <f t="shared" si="18"/>
        <v>7.19999999999999</v>
      </c>
      <c r="CB6" s="1">
        <f t="shared" si="18"/>
        <v>7.29999999999999</v>
      </c>
      <c r="CC6" s="1">
        <f t="shared" si="18"/>
        <v>7.39999999999999</v>
      </c>
      <c r="CD6" s="1">
        <f t="shared" si="18"/>
        <v>7.499999999999989</v>
      </c>
      <c r="CE6" s="1">
        <f t="shared" si="18"/>
        <v>7.599999999999989</v>
      </c>
      <c r="CF6" s="1">
        <f t="shared" si="18"/>
        <v>7.699999999999989</v>
      </c>
      <c r="CG6" s="1">
        <f t="shared" si="18"/>
        <v>7.799999999999988</v>
      </c>
      <c r="CH6" s="1">
        <f t="shared" si="18"/>
        <v>7.899999999999988</v>
      </c>
      <c r="CI6" s="1">
        <f aca="true" t="shared" si="19" ref="CI6:DN6">IF(CH7&lt;Pb_low,(Fr*t)+CH6,CH6)</f>
        <v>7.999999999999988</v>
      </c>
      <c r="CJ6" s="1">
        <f t="shared" si="19"/>
        <v>8.099999999999987</v>
      </c>
      <c r="CK6" s="1">
        <f t="shared" si="19"/>
        <v>8.199999999999987</v>
      </c>
      <c r="CL6" s="1">
        <f t="shared" si="19"/>
        <v>8.299999999999986</v>
      </c>
      <c r="CM6" s="1">
        <f t="shared" si="19"/>
        <v>8.399999999999986</v>
      </c>
      <c r="CN6" s="1">
        <f t="shared" si="19"/>
        <v>8.499999999999986</v>
      </c>
      <c r="CO6" s="1">
        <f t="shared" si="19"/>
        <v>8.599999999999985</v>
      </c>
      <c r="CP6" s="1">
        <f t="shared" si="19"/>
        <v>8.699999999999985</v>
      </c>
      <c r="CQ6" s="1">
        <f t="shared" si="19"/>
        <v>8.799999999999985</v>
      </c>
      <c r="CR6" s="1">
        <f t="shared" si="19"/>
        <v>8.899999999999984</v>
      </c>
      <c r="CS6" s="1">
        <f t="shared" si="19"/>
        <v>8.999999999999984</v>
      </c>
      <c r="CT6" s="1">
        <f t="shared" si="19"/>
        <v>9.099999999999984</v>
      </c>
      <c r="CU6" s="1">
        <f t="shared" si="19"/>
        <v>9.199999999999983</v>
      </c>
      <c r="CV6" s="1">
        <f t="shared" si="19"/>
        <v>9.299999999999983</v>
      </c>
      <c r="CW6" s="1">
        <f t="shared" si="19"/>
        <v>9.399999999999983</v>
      </c>
      <c r="CX6" s="1">
        <f t="shared" si="19"/>
        <v>9.499999999999982</v>
      </c>
      <c r="CY6" s="1">
        <f t="shared" si="19"/>
        <v>9.599999999999982</v>
      </c>
      <c r="CZ6" s="1">
        <f t="shared" si="19"/>
        <v>9.699999999999982</v>
      </c>
      <c r="DA6" s="1">
        <f t="shared" si="19"/>
        <v>9.799999999999981</v>
      </c>
      <c r="DB6" s="1">
        <f t="shared" si="19"/>
        <v>9.89999999999998</v>
      </c>
      <c r="DC6" s="1">
        <f t="shared" si="19"/>
        <v>9.99999999999998</v>
      </c>
      <c r="DD6" s="1">
        <f t="shared" si="19"/>
        <v>10.09999999999998</v>
      </c>
      <c r="DE6" s="1">
        <f t="shared" si="19"/>
        <v>10.19999999999998</v>
      </c>
      <c r="DF6" s="1">
        <f t="shared" si="19"/>
        <v>10.29999999999998</v>
      </c>
      <c r="DG6" s="1">
        <f t="shared" si="19"/>
        <v>10.399999999999979</v>
      </c>
      <c r="DH6" s="1">
        <f t="shared" si="19"/>
        <v>10.499999999999979</v>
      </c>
      <c r="DI6" s="1">
        <f t="shared" si="19"/>
        <v>10.599999999999978</v>
      </c>
      <c r="DJ6" s="1">
        <f t="shared" si="19"/>
        <v>10.699999999999978</v>
      </c>
      <c r="DK6" s="1">
        <f t="shared" si="19"/>
        <v>10.799999999999978</v>
      </c>
      <c r="DL6" s="1">
        <f t="shared" si="19"/>
        <v>10.899999999999977</v>
      </c>
      <c r="DM6" s="1">
        <f t="shared" si="19"/>
        <v>10.999999999999977</v>
      </c>
      <c r="DN6" s="1">
        <f t="shared" si="19"/>
        <v>11.099999999999977</v>
      </c>
      <c r="DO6" s="1">
        <f aca="true" t="shared" si="20" ref="DO6:EG6">IF(DN7&lt;Pb_low,(Fr*t)+DN6,DN6)</f>
        <v>11.199999999999976</v>
      </c>
      <c r="DP6" s="1">
        <f t="shared" si="20"/>
        <v>11.299999999999976</v>
      </c>
      <c r="DQ6" s="1">
        <f t="shared" si="20"/>
        <v>11.399999999999975</v>
      </c>
      <c r="DR6" s="1">
        <f t="shared" si="20"/>
        <v>11.499999999999975</v>
      </c>
      <c r="DS6" s="1">
        <f t="shared" si="20"/>
        <v>11.599999999999975</v>
      </c>
      <c r="DT6" s="1">
        <f t="shared" si="20"/>
        <v>11.699999999999974</v>
      </c>
      <c r="DU6" s="1">
        <f t="shared" si="20"/>
        <v>11.799999999999974</v>
      </c>
      <c r="DV6" s="1">
        <f t="shared" si="20"/>
        <v>11.899999999999974</v>
      </c>
      <c r="DW6" s="1">
        <f t="shared" si="20"/>
        <v>11.999999999999973</v>
      </c>
      <c r="DX6" s="1">
        <f t="shared" si="20"/>
        <v>12.099999999999973</v>
      </c>
      <c r="DY6" s="1">
        <f t="shared" si="20"/>
        <v>12.199999999999973</v>
      </c>
      <c r="DZ6" s="1">
        <f t="shared" si="20"/>
        <v>12.299999999999972</v>
      </c>
      <c r="EA6" s="1">
        <f t="shared" si="20"/>
        <v>12.399999999999972</v>
      </c>
      <c r="EB6" s="1">
        <f t="shared" si="20"/>
        <v>12.499999999999972</v>
      </c>
      <c r="EC6" s="1">
        <f t="shared" si="20"/>
        <v>12.599999999999971</v>
      </c>
      <c r="ED6" s="1">
        <f t="shared" si="20"/>
        <v>12.69999999999997</v>
      </c>
      <c r="EE6" s="1">
        <f t="shared" si="20"/>
        <v>12.79999999999997</v>
      </c>
      <c r="EF6" s="1">
        <f t="shared" si="20"/>
        <v>12.89999999999997</v>
      </c>
      <c r="EG6" s="1">
        <f t="shared" si="20"/>
        <v>12.99999999999997</v>
      </c>
    </row>
    <row r="7" spans="1:137" ht="12.75">
      <c r="A7" t="s">
        <v>17</v>
      </c>
      <c r="B7" s="1">
        <f>Pb</f>
        <v>16</v>
      </c>
      <c r="C7" s="1">
        <f aca="true" t="shared" si="21" ref="C7:AH7">MIN(((Vt*Pb)+C6-C5)/Vt,Pb)</f>
        <v>15.90972026482474</v>
      </c>
      <c r="D7" s="1">
        <f t="shared" si="21"/>
        <v>15.718386931491407</v>
      </c>
      <c r="E7" s="1">
        <f t="shared" si="21"/>
        <v>15.527053598158073</v>
      </c>
      <c r="F7" s="1">
        <f t="shared" si="21"/>
        <v>15.33572026482474</v>
      </c>
      <c r="G7" s="1">
        <f t="shared" si="21"/>
        <v>15.144386931491407</v>
      </c>
      <c r="H7" s="1">
        <f t="shared" si="21"/>
        <v>15.053053598158074</v>
      </c>
      <c r="I7" s="1">
        <f t="shared" si="21"/>
        <v>14.96172026482474</v>
      </c>
      <c r="J7" s="1">
        <f t="shared" si="21"/>
        <v>14.870386931491408</v>
      </c>
      <c r="K7" s="1">
        <f t="shared" si="21"/>
        <v>14.779053598158072</v>
      </c>
      <c r="L7" s="1">
        <f t="shared" si="21"/>
        <v>14.68772026482474</v>
      </c>
      <c r="M7" s="1">
        <f t="shared" si="21"/>
        <v>14.59638693149141</v>
      </c>
      <c r="N7" s="1">
        <f t="shared" si="21"/>
        <v>14.505053598158073</v>
      </c>
      <c r="O7" s="1">
        <f t="shared" si="21"/>
        <v>14.413720264824741</v>
      </c>
      <c r="P7" s="1">
        <f t="shared" si="21"/>
        <v>14.322386931491407</v>
      </c>
      <c r="Q7" s="1">
        <f t="shared" si="21"/>
        <v>14.231053598158073</v>
      </c>
      <c r="R7" s="1">
        <f t="shared" si="21"/>
        <v>14.139720264824742</v>
      </c>
      <c r="S7" s="1">
        <f t="shared" si="21"/>
        <v>14.048386931491407</v>
      </c>
      <c r="T7" s="1">
        <f t="shared" si="21"/>
        <v>13.957053598158076</v>
      </c>
      <c r="U7" s="1">
        <f t="shared" si="21"/>
        <v>13.865720264824741</v>
      </c>
      <c r="V7" s="1">
        <f t="shared" si="21"/>
        <v>13.774386931491408</v>
      </c>
      <c r="W7" s="1">
        <f t="shared" si="21"/>
        <v>13.683053598158077</v>
      </c>
      <c r="X7" s="1">
        <f t="shared" si="21"/>
        <v>13.591720264824742</v>
      </c>
      <c r="Y7" s="1">
        <f t="shared" si="21"/>
        <v>13.50038693149141</v>
      </c>
      <c r="Z7" s="1">
        <f t="shared" si="21"/>
        <v>13.409053598158078</v>
      </c>
      <c r="AA7" s="1">
        <f t="shared" si="21"/>
        <v>13.317720264824743</v>
      </c>
      <c r="AB7" s="1">
        <f t="shared" si="21"/>
        <v>13.22638693149141</v>
      </c>
      <c r="AC7" s="1">
        <f t="shared" si="21"/>
        <v>13.135053598158073</v>
      </c>
      <c r="AD7" s="1">
        <f t="shared" si="21"/>
        <v>13.043720264824742</v>
      </c>
      <c r="AE7" s="1">
        <f t="shared" si="21"/>
        <v>12.95238693149141</v>
      </c>
      <c r="AF7" s="1">
        <f t="shared" si="21"/>
        <v>12.861053598158074</v>
      </c>
      <c r="AG7" s="1">
        <f t="shared" si="21"/>
        <v>12.769720264824741</v>
      </c>
      <c r="AH7" s="1">
        <f t="shared" si="21"/>
        <v>12.67838693149141</v>
      </c>
      <c r="AI7" s="1">
        <f aca="true" t="shared" si="22" ref="AI7:BN7">MIN(((Vt*Pb)+AI6-AI5)/Vt,Pb)</f>
        <v>12.587053598158075</v>
      </c>
      <c r="AJ7" s="1">
        <f t="shared" si="22"/>
        <v>12.495720264824742</v>
      </c>
      <c r="AK7" s="1">
        <f t="shared" si="22"/>
        <v>12.404386931491405</v>
      </c>
      <c r="AL7" s="1">
        <f t="shared" si="22"/>
        <v>12.313053598158074</v>
      </c>
      <c r="AM7" s="1">
        <f t="shared" si="22"/>
        <v>12.221720264824743</v>
      </c>
      <c r="AN7" s="1">
        <f t="shared" si="22"/>
        <v>12.130386931491408</v>
      </c>
      <c r="AO7" s="1">
        <f t="shared" si="22"/>
        <v>12.039053598158075</v>
      </c>
      <c r="AP7" s="1">
        <f t="shared" si="22"/>
        <v>11.94772026482474</v>
      </c>
      <c r="AQ7" s="1">
        <f t="shared" si="22"/>
        <v>11.856386931491407</v>
      </c>
      <c r="AR7" s="1">
        <f t="shared" si="22"/>
        <v>11.765053598158076</v>
      </c>
      <c r="AS7" s="1">
        <f t="shared" si="22"/>
        <v>11.673720264824741</v>
      </c>
      <c r="AT7" s="1">
        <f t="shared" si="22"/>
        <v>11.58238693149141</v>
      </c>
      <c r="AU7" s="1">
        <f t="shared" si="22"/>
        <v>11.491053598158075</v>
      </c>
      <c r="AV7" s="1">
        <f t="shared" si="22"/>
        <v>11.399720264824744</v>
      </c>
      <c r="AW7" s="1">
        <f t="shared" si="22"/>
        <v>11.308386931491412</v>
      </c>
      <c r="AX7" s="1">
        <f t="shared" si="22"/>
        <v>11.217053598158078</v>
      </c>
      <c r="AY7" s="1">
        <f t="shared" si="22"/>
        <v>11.125720264824743</v>
      </c>
      <c r="AZ7" s="1">
        <f t="shared" si="22"/>
        <v>11.034386931491412</v>
      </c>
      <c r="BA7" s="1">
        <f t="shared" si="22"/>
        <v>10.94305359815808</v>
      </c>
      <c r="BB7" s="1">
        <f t="shared" si="22"/>
        <v>10.851720264824745</v>
      </c>
      <c r="BC7" s="1">
        <f t="shared" si="22"/>
        <v>10.76038693149141</v>
      </c>
      <c r="BD7" s="1">
        <f t="shared" si="22"/>
        <v>10.66905359815808</v>
      </c>
      <c r="BE7" s="1">
        <f t="shared" si="22"/>
        <v>10.577720264824748</v>
      </c>
      <c r="BF7" s="1">
        <f t="shared" si="22"/>
        <v>10.486386931491413</v>
      </c>
      <c r="BG7" s="1">
        <f t="shared" si="22"/>
        <v>10.395053598158079</v>
      </c>
      <c r="BH7" s="1">
        <f t="shared" si="22"/>
        <v>10.303720264824747</v>
      </c>
      <c r="BI7" s="1">
        <f t="shared" si="22"/>
        <v>10.212386931491416</v>
      </c>
      <c r="BJ7" s="1">
        <f t="shared" si="22"/>
        <v>10.121053598158081</v>
      </c>
      <c r="BK7" s="1">
        <f t="shared" si="22"/>
        <v>10.029720264824746</v>
      </c>
      <c r="BL7" s="1">
        <f t="shared" si="22"/>
        <v>9.938386931491415</v>
      </c>
      <c r="BM7" s="1">
        <f t="shared" si="22"/>
        <v>9.847053598158084</v>
      </c>
      <c r="BN7" s="1">
        <f t="shared" si="22"/>
        <v>9.755720264824749</v>
      </c>
      <c r="BO7" s="1">
        <f aca="true" t="shared" si="23" ref="BO7:CT7">MIN(((Vt*Pb)+BO6-BO5)/Vt,Pb)</f>
        <v>9.664386931491414</v>
      </c>
      <c r="BP7" s="1">
        <f t="shared" si="23"/>
        <v>9.573053598158083</v>
      </c>
      <c r="BQ7" s="1">
        <f t="shared" si="23"/>
        <v>9.481720264824753</v>
      </c>
      <c r="BR7" s="1">
        <f t="shared" si="23"/>
        <v>9.390386931491417</v>
      </c>
      <c r="BS7" s="1">
        <f t="shared" si="23"/>
        <v>9.299053598158082</v>
      </c>
      <c r="BT7" s="1">
        <f t="shared" si="23"/>
        <v>9.20772026482475</v>
      </c>
      <c r="BU7" s="1">
        <f t="shared" si="23"/>
        <v>9.116386931491421</v>
      </c>
      <c r="BV7" s="1">
        <f t="shared" si="23"/>
        <v>9.025053598158085</v>
      </c>
      <c r="BW7" s="1">
        <f t="shared" si="23"/>
        <v>8.93372026482475</v>
      </c>
      <c r="BX7" s="1">
        <f t="shared" si="23"/>
        <v>8.949314243176905</v>
      </c>
      <c r="BY7" s="1">
        <f t="shared" si="23"/>
        <v>8.988127024945225</v>
      </c>
      <c r="BZ7" s="1">
        <f t="shared" si="23"/>
        <v>9.026939806713543</v>
      </c>
      <c r="CA7" s="1">
        <f t="shared" si="23"/>
        <v>9.06575258848186</v>
      </c>
      <c r="CB7" s="1">
        <f t="shared" si="23"/>
        <v>9.104565370250182</v>
      </c>
      <c r="CC7" s="1">
        <f t="shared" si="23"/>
        <v>9.143378152018505</v>
      </c>
      <c r="CD7" s="1">
        <f t="shared" si="23"/>
        <v>9.182190933786819</v>
      </c>
      <c r="CE7" s="1">
        <f t="shared" si="23"/>
        <v>9.22100371555514</v>
      </c>
      <c r="CF7" s="1">
        <f t="shared" si="23"/>
        <v>9.259816497323461</v>
      </c>
      <c r="CG7" s="1">
        <f t="shared" si="23"/>
        <v>9.29862927909178</v>
      </c>
      <c r="CH7" s="1">
        <f t="shared" si="23"/>
        <v>9.337442060860099</v>
      </c>
      <c r="CI7" s="1">
        <f t="shared" si="23"/>
        <v>9.376254842628416</v>
      </c>
      <c r="CJ7" s="1">
        <f t="shared" si="23"/>
        <v>9.415067624396741</v>
      </c>
      <c r="CK7" s="1">
        <f t="shared" si="23"/>
        <v>9.45388040616506</v>
      </c>
      <c r="CL7" s="1">
        <f t="shared" si="23"/>
        <v>9.492693187933378</v>
      </c>
      <c r="CM7" s="1">
        <f t="shared" si="23"/>
        <v>9.531505969701696</v>
      </c>
      <c r="CN7" s="1">
        <f t="shared" si="23"/>
        <v>9.570318751470017</v>
      </c>
      <c r="CO7" s="1">
        <f t="shared" si="23"/>
        <v>9.60913153323834</v>
      </c>
      <c r="CP7" s="1">
        <f t="shared" si="23"/>
        <v>9.647944315006654</v>
      </c>
      <c r="CQ7" s="1">
        <f t="shared" si="23"/>
        <v>9.686757096774976</v>
      </c>
      <c r="CR7" s="1">
        <f t="shared" si="23"/>
        <v>9.725569878543297</v>
      </c>
      <c r="CS7" s="1">
        <f t="shared" si="23"/>
        <v>9.764382660311618</v>
      </c>
      <c r="CT7" s="1">
        <f t="shared" si="23"/>
        <v>9.803195442079934</v>
      </c>
      <c r="CU7" s="1">
        <f aca="true" t="shared" si="24" ref="CU7:DZ7">MIN(((Vt*Pb)+CU6-CU5)/Vt,Pb)</f>
        <v>9.842008223848252</v>
      </c>
      <c r="CV7" s="1">
        <f t="shared" si="24"/>
        <v>9.880821005616577</v>
      </c>
      <c r="CW7" s="1">
        <f t="shared" si="24"/>
        <v>9.919633787384896</v>
      </c>
      <c r="CX7" s="1">
        <f t="shared" si="24"/>
        <v>9.958446569153214</v>
      </c>
      <c r="CY7" s="1">
        <f t="shared" si="24"/>
        <v>9.997259350921532</v>
      </c>
      <c r="CZ7" s="1">
        <f t="shared" si="24"/>
        <v>10.036072132689853</v>
      </c>
      <c r="DA7" s="1">
        <f t="shared" si="24"/>
        <v>10.074884914458174</v>
      </c>
      <c r="DB7" s="1">
        <f t="shared" si="24"/>
        <v>10.11369769622649</v>
      </c>
      <c r="DC7" s="1">
        <f t="shared" si="24"/>
        <v>10.152510477994811</v>
      </c>
      <c r="DD7" s="1">
        <f t="shared" si="24"/>
        <v>10.191323259763132</v>
      </c>
      <c r="DE7" s="1">
        <f t="shared" si="24"/>
        <v>10.230136041531454</v>
      </c>
      <c r="DF7" s="1">
        <f t="shared" si="24"/>
        <v>10.26894882329977</v>
      </c>
      <c r="DG7" s="1">
        <f t="shared" si="24"/>
        <v>10.307761605068087</v>
      </c>
      <c r="DH7" s="1">
        <f t="shared" si="24"/>
        <v>10.346574386836412</v>
      </c>
      <c r="DI7" s="1">
        <f t="shared" si="24"/>
        <v>10.38538716860473</v>
      </c>
      <c r="DJ7" s="1">
        <f t="shared" si="24"/>
        <v>10.424199950373048</v>
      </c>
      <c r="DK7" s="1">
        <f t="shared" si="24"/>
        <v>10.463012732141365</v>
      </c>
      <c r="DL7" s="1">
        <f t="shared" si="24"/>
        <v>10.50182551390969</v>
      </c>
      <c r="DM7" s="1">
        <f t="shared" si="24"/>
        <v>10.540638295678011</v>
      </c>
      <c r="DN7" s="1">
        <f t="shared" si="24"/>
        <v>10.579451077446329</v>
      </c>
      <c r="DO7" s="1">
        <f t="shared" si="24"/>
        <v>10.618263859214647</v>
      </c>
      <c r="DP7" s="1">
        <f t="shared" si="24"/>
        <v>10.657076640982968</v>
      </c>
      <c r="DQ7" s="1">
        <f t="shared" si="24"/>
        <v>10.69588942275129</v>
      </c>
      <c r="DR7" s="1">
        <f t="shared" si="24"/>
        <v>10.734702204519603</v>
      </c>
      <c r="DS7" s="1">
        <f t="shared" si="24"/>
        <v>10.773514986287925</v>
      </c>
      <c r="DT7" s="1">
        <f t="shared" si="24"/>
        <v>10.812327768056246</v>
      </c>
      <c r="DU7" s="1">
        <f t="shared" si="24"/>
        <v>10.851140549824567</v>
      </c>
      <c r="DV7" s="1">
        <f t="shared" si="24"/>
        <v>10.889953331592885</v>
      </c>
      <c r="DW7" s="1">
        <f t="shared" si="24"/>
        <v>10.928766113361203</v>
      </c>
      <c r="DX7" s="1">
        <f t="shared" si="24"/>
        <v>10.967578895129527</v>
      </c>
      <c r="DY7" s="1">
        <f t="shared" si="24"/>
        <v>11.006391676897845</v>
      </c>
      <c r="DZ7" s="1">
        <f t="shared" si="24"/>
        <v>11.045204458666163</v>
      </c>
      <c r="EA7" s="1">
        <f aca="true" t="shared" si="25" ref="EA7:EG7">MIN(((Vt*Pb)+EA6-EA5)/Vt,Pb)</f>
        <v>11.08401724043448</v>
      </c>
      <c r="EB7" s="1">
        <f t="shared" si="25"/>
        <v>11.122830022202802</v>
      </c>
      <c r="EC7" s="1">
        <f t="shared" si="25"/>
        <v>11.161642803971127</v>
      </c>
      <c r="ED7" s="1">
        <f t="shared" si="25"/>
        <v>11.20045558573944</v>
      </c>
      <c r="EE7" s="1">
        <f t="shared" si="25"/>
        <v>11.239268367507762</v>
      </c>
      <c r="EF7" s="1">
        <f t="shared" si="25"/>
        <v>11.278081149276083</v>
      </c>
      <c r="EG7" s="1">
        <f t="shared" si="25"/>
        <v>11.316893931044401</v>
      </c>
    </row>
    <row r="8" spans="1:137" ht="12.75">
      <c r="A8" t="s">
        <v>132</v>
      </c>
      <c r="B8" s="1">
        <f>no_of_rams*B4*14.5/2.2/(0.0254^2)*9.81*ram_csa</f>
        <v>0</v>
      </c>
      <c r="C8" s="1">
        <f>no_of_rams*(C4-B17)*14.5/2.2/(0.0254^2)*9.81*ram_csa</f>
        <v>12522.738755139337</v>
      </c>
      <c r="D8" s="1">
        <f aca="true" t="shared" si="26" ref="D8:BO8">no_of_rams*(D4-C17)*14.5/2.2/(0.0254^2)*9.81*ram_csa</f>
        <v>10360.723786488586</v>
      </c>
      <c r="E8" s="1">
        <f t="shared" si="26"/>
        <v>8400.28214475487</v>
      </c>
      <c r="F8" s="1">
        <f t="shared" si="26"/>
        <v>7183.083613430406</v>
      </c>
      <c r="G8" s="1">
        <f t="shared" si="26"/>
        <v>6355.381688196224</v>
      </c>
      <c r="H8" s="1">
        <f t="shared" si="26"/>
        <v>5755.387093059318</v>
      </c>
      <c r="I8" s="1">
        <f t="shared" si="26"/>
        <v>5299.836546021634</v>
      </c>
      <c r="J8" s="1">
        <f t="shared" si="26"/>
        <v>4941.711482548271</v>
      </c>
      <c r="K8" s="1">
        <f t="shared" si="26"/>
        <v>4652.488037596725</v>
      </c>
      <c r="L8" s="1">
        <f t="shared" si="26"/>
        <v>4413.857878169901</v>
      </c>
      <c r="M8" s="1">
        <f t="shared" si="26"/>
        <v>4213.524221994863</v>
      </c>
      <c r="N8" s="1">
        <f t="shared" si="26"/>
        <v>4042.9151034591246</v>
      </c>
      <c r="O8" s="1">
        <f t="shared" si="26"/>
        <v>3895.8671344209915</v>
      </c>
      <c r="P8" s="1">
        <f t="shared" si="26"/>
        <v>3767.831259728089</v>
      </c>
      <c r="Q8" s="1">
        <f t="shared" si="26"/>
        <v>3655.373966927854</v>
      </c>
      <c r="R8" s="1">
        <f t="shared" si="26"/>
        <v>3555.8531447661194</v>
      </c>
      <c r="S8" s="1">
        <f t="shared" si="26"/>
        <v>3467.2011099010397</v>
      </c>
      <c r="T8" s="1">
        <f t="shared" si="26"/>
        <v>3387.7755651116163</v>
      </c>
      <c r="U8" s="1">
        <f t="shared" si="26"/>
        <v>3316.2548618978244</v>
      </c>
      <c r="V8" s="1">
        <f t="shared" si="26"/>
        <v>3251.5628948226317</v>
      </c>
      <c r="W8" s="1">
        <f t="shared" si="26"/>
        <v>3192.8142633988477</v>
      </c>
      <c r="X8" s="1">
        <f t="shared" si="26"/>
        <v>3139.2735776989166</v>
      </c>
      <c r="Y8" s="1">
        <f t="shared" si="26"/>
        <v>3090.324814286745</v>
      </c>
      <c r="Z8" s="1">
        <f t="shared" si="26"/>
        <v>3045.4479316494235</v>
      </c>
      <c r="AA8" s="1">
        <f t="shared" si="26"/>
        <v>3004.2008079481443</v>
      </c>
      <c r="AB8" s="1">
        <f t="shared" si="26"/>
        <v>2966.2051342791306</v>
      </c>
      <c r="AC8" s="1">
        <f t="shared" si="26"/>
        <v>2931.1352845358824</v>
      </c>
      <c r="AD8" s="1">
        <f t="shared" si="26"/>
        <v>2898.7094510786856</v>
      </c>
      <c r="AE8" s="1">
        <f t="shared" si="26"/>
        <v>2868.6825235206893</v>
      </c>
      <c r="AF8" s="1">
        <f t="shared" si="26"/>
        <v>2840.840321737053</v>
      </c>
      <c r="AG8" s="1">
        <f t="shared" si="26"/>
        <v>2814.994890593759</v>
      </c>
      <c r="AH8" s="1">
        <f t="shared" si="26"/>
        <v>2790.98063415935</v>
      </c>
      <c r="AI8" s="1">
        <f t="shared" si="26"/>
        <v>2768.651118954013</v>
      </c>
      <c r="AJ8" s="1">
        <f t="shared" si="26"/>
        <v>2804.0216633700884</v>
      </c>
      <c r="AK8" s="1">
        <f t="shared" si="26"/>
        <v>3293.108257432675</v>
      </c>
      <c r="AL8" s="1">
        <f t="shared" si="26"/>
        <v>3388.638630936619</v>
      </c>
      <c r="AM8" s="1">
        <f t="shared" si="26"/>
        <v>3484.169004440562</v>
      </c>
      <c r="AN8" s="1">
        <f t="shared" si="26"/>
        <v>3579.6993779445056</v>
      </c>
      <c r="AO8" s="1">
        <f t="shared" si="26"/>
        <v>3675.22975144845</v>
      </c>
      <c r="AP8" s="1">
        <f t="shared" si="26"/>
        <v>3770.760124952393</v>
      </c>
      <c r="AQ8" s="1">
        <f t="shared" si="26"/>
        <v>3866.290498456337</v>
      </c>
      <c r="AR8" s="1">
        <f t="shared" si="26"/>
        <v>3961.820871960281</v>
      </c>
      <c r="AS8" s="1">
        <f t="shared" si="26"/>
        <v>4057.3512454642246</v>
      </c>
      <c r="AT8" s="1">
        <f t="shared" si="26"/>
        <v>4152.881618968168</v>
      </c>
      <c r="AU8" s="1">
        <f t="shared" si="26"/>
        <v>4248.411992472112</v>
      </c>
      <c r="AV8" s="1">
        <f t="shared" si="26"/>
        <v>4343.942365976055</v>
      </c>
      <c r="AW8" s="1">
        <f t="shared" si="26"/>
        <v>4439.4727394799975</v>
      </c>
      <c r="AX8" s="1">
        <f t="shared" si="26"/>
        <v>4535.003112983942</v>
      </c>
      <c r="AY8" s="1">
        <f t="shared" si="26"/>
        <v>4630.533486487885</v>
      </c>
      <c r="AZ8" s="1">
        <f t="shared" si="26"/>
        <v>4726.063859991828</v>
      </c>
      <c r="BA8" s="1">
        <f t="shared" si="26"/>
        <v>4821.594233495771</v>
      </c>
      <c r="BB8" s="1">
        <f t="shared" si="26"/>
        <v>4917.124606999715</v>
      </c>
      <c r="BC8" s="1">
        <f t="shared" si="26"/>
        <v>5012.654980503659</v>
      </c>
      <c r="BD8" s="1">
        <f t="shared" si="26"/>
        <v>5108.185354007603</v>
      </c>
      <c r="BE8" s="1">
        <f t="shared" si="26"/>
        <v>5203.715727511544</v>
      </c>
      <c r="BF8" s="1">
        <f t="shared" si="26"/>
        <v>5299.246101015488</v>
      </c>
      <c r="BG8" s="1">
        <f t="shared" si="26"/>
        <v>5394.776474519433</v>
      </c>
      <c r="BH8" s="1">
        <f t="shared" si="26"/>
        <v>5490.306848023375</v>
      </c>
      <c r="BI8" s="1">
        <f t="shared" si="26"/>
        <v>5585.837221527319</v>
      </c>
      <c r="BJ8" s="1">
        <f t="shared" si="26"/>
        <v>5681.367595031263</v>
      </c>
      <c r="BK8" s="1">
        <f t="shared" si="26"/>
        <v>5776.897968535207</v>
      </c>
      <c r="BL8" s="1">
        <f t="shared" si="26"/>
        <v>5872.428342039149</v>
      </c>
      <c r="BM8" s="1">
        <f t="shared" si="26"/>
        <v>5967.958715543094</v>
      </c>
      <c r="BN8" s="1">
        <f t="shared" si="26"/>
        <v>6063.489089047035</v>
      </c>
      <c r="BO8" s="1">
        <f t="shared" si="26"/>
        <v>6159.019462550981</v>
      </c>
      <c r="BP8" s="1">
        <f aca="true" t="shared" si="27" ref="BP8:EA8">no_of_rams*(BP4-BO17)*14.5/2.2/(0.0254^2)*9.81*ram_csa</f>
        <v>6254.549836054923</v>
      </c>
      <c r="BQ8" s="1">
        <f t="shared" si="27"/>
        <v>6350.080209558866</v>
      </c>
      <c r="BR8" s="1">
        <f t="shared" si="27"/>
        <v>6445.610583062809</v>
      </c>
      <c r="BS8" s="1">
        <f t="shared" si="27"/>
        <v>6541.140956566754</v>
      </c>
      <c r="BT8" s="1">
        <f t="shared" si="27"/>
        <v>6636.671330070697</v>
      </c>
      <c r="BU8" s="1">
        <f t="shared" si="27"/>
        <v>6732.201703574639</v>
      </c>
      <c r="BV8" s="1">
        <f t="shared" si="27"/>
        <v>6827.732077078584</v>
      </c>
      <c r="BW8" s="1">
        <f t="shared" si="27"/>
        <v>6923.262450582527</v>
      </c>
      <c r="BX8" s="1">
        <f t="shared" si="27"/>
        <v>6965.405336160928</v>
      </c>
      <c r="BY8" s="1">
        <f t="shared" si="27"/>
        <v>6995.955359565143</v>
      </c>
      <c r="BZ8" s="1">
        <f t="shared" si="27"/>
        <v>7026.505382969358</v>
      </c>
      <c r="CA8" s="1">
        <f t="shared" si="27"/>
        <v>7057.055406373572</v>
      </c>
      <c r="CB8" s="1">
        <f t="shared" si="27"/>
        <v>7087.605429777787</v>
      </c>
      <c r="CC8" s="1">
        <f t="shared" si="27"/>
        <v>7118.155453182001</v>
      </c>
      <c r="CD8" s="1">
        <f t="shared" si="27"/>
        <v>7148.705476586218</v>
      </c>
      <c r="CE8" s="1">
        <f t="shared" si="27"/>
        <v>7179.25549999043</v>
      </c>
      <c r="CF8" s="1">
        <f t="shared" si="27"/>
        <v>7209.805523394643</v>
      </c>
      <c r="CG8" s="1">
        <f t="shared" si="27"/>
        <v>7240.355546798861</v>
      </c>
      <c r="CH8" s="1">
        <f t="shared" si="27"/>
        <v>7270.9055702030755</v>
      </c>
      <c r="CI8" s="1">
        <f t="shared" si="27"/>
        <v>7301.455593607288</v>
      </c>
      <c r="CJ8" s="1">
        <f t="shared" si="27"/>
        <v>7332.0056170115</v>
      </c>
      <c r="CK8" s="1">
        <f t="shared" si="27"/>
        <v>7362.555640415717</v>
      </c>
      <c r="CL8" s="1">
        <f t="shared" si="27"/>
        <v>7393.105663819932</v>
      </c>
      <c r="CM8" s="1">
        <f t="shared" si="27"/>
        <v>7423.655687224146</v>
      </c>
      <c r="CN8" s="1">
        <f t="shared" si="27"/>
        <v>7454.205710628361</v>
      </c>
      <c r="CO8" s="1">
        <f t="shared" si="27"/>
        <v>7484.755734032576</v>
      </c>
      <c r="CP8" s="1">
        <f t="shared" si="27"/>
        <v>7515.30575743679</v>
      </c>
      <c r="CQ8" s="1">
        <f t="shared" si="27"/>
        <v>7545.855780841004</v>
      </c>
      <c r="CR8" s="1">
        <f t="shared" si="27"/>
        <v>7576.405804245218</v>
      </c>
      <c r="CS8" s="1">
        <f t="shared" si="27"/>
        <v>7606.955827649433</v>
      </c>
      <c r="CT8" s="1">
        <f t="shared" si="27"/>
        <v>7637.505851053647</v>
      </c>
      <c r="CU8" s="1">
        <f t="shared" si="27"/>
        <v>7668.055874457864</v>
      </c>
      <c r="CV8" s="1">
        <f t="shared" si="27"/>
        <v>7698.605897862078</v>
      </c>
      <c r="CW8" s="1">
        <f t="shared" si="27"/>
        <v>7729.155921266293</v>
      </c>
      <c r="CX8" s="1">
        <f t="shared" si="27"/>
        <v>7759.705944670506</v>
      </c>
      <c r="CY8" s="1">
        <f t="shared" si="27"/>
        <v>7790.255968074721</v>
      </c>
      <c r="CZ8" s="1">
        <f t="shared" si="27"/>
        <v>7820.8059914789355</v>
      </c>
      <c r="DA8" s="1">
        <f t="shared" si="27"/>
        <v>7851.356014883149</v>
      </c>
      <c r="DB8" s="1">
        <f t="shared" si="27"/>
        <v>7881.906038287364</v>
      </c>
      <c r="DC8" s="1">
        <f t="shared" si="27"/>
        <v>7912.456061691578</v>
      </c>
      <c r="DD8" s="1">
        <f t="shared" si="27"/>
        <v>7943.006085095794</v>
      </c>
      <c r="DE8" s="1">
        <f t="shared" si="27"/>
        <v>7973.556108500007</v>
      </c>
      <c r="DF8" s="1">
        <f t="shared" si="27"/>
        <v>8004.106131904223</v>
      </c>
      <c r="DG8" s="1">
        <f t="shared" si="27"/>
        <v>8034.656155308437</v>
      </c>
      <c r="DH8" s="1">
        <f t="shared" si="27"/>
        <v>8065.2061787126495</v>
      </c>
      <c r="DI8" s="1">
        <f t="shared" si="27"/>
        <v>8095.756202116865</v>
      </c>
      <c r="DJ8" s="1">
        <f t="shared" si="27"/>
        <v>8126.306225521081</v>
      </c>
      <c r="DK8" s="1">
        <f t="shared" si="27"/>
        <v>8156.8562489252945</v>
      </c>
      <c r="DL8" s="1">
        <f t="shared" si="27"/>
        <v>8187.406272329508</v>
      </c>
      <c r="DM8" s="1">
        <f t="shared" si="27"/>
        <v>8217.956295733722</v>
      </c>
      <c r="DN8" s="1">
        <f t="shared" si="27"/>
        <v>8248.506319137938</v>
      </c>
      <c r="DO8" s="1">
        <f t="shared" si="27"/>
        <v>8279.056342542153</v>
      </c>
      <c r="DP8" s="1">
        <f t="shared" si="27"/>
        <v>8309.606365946367</v>
      </c>
      <c r="DQ8" s="1">
        <f t="shared" si="27"/>
        <v>8340.15638935058</v>
      </c>
      <c r="DR8" s="1">
        <f t="shared" si="27"/>
        <v>8370.706412754796</v>
      </c>
      <c r="DS8" s="1">
        <f t="shared" si="27"/>
        <v>8401.256436159012</v>
      </c>
      <c r="DT8" s="1">
        <f t="shared" si="27"/>
        <v>8431.806459563224</v>
      </c>
      <c r="DU8" s="1">
        <f t="shared" si="27"/>
        <v>8462.35648296744</v>
      </c>
      <c r="DV8" s="1">
        <f t="shared" si="27"/>
        <v>8492.906506371655</v>
      </c>
      <c r="DW8" s="1">
        <f t="shared" si="27"/>
        <v>8523.456529775867</v>
      </c>
      <c r="DX8" s="1">
        <f t="shared" si="27"/>
        <v>8554.006553180081</v>
      </c>
      <c r="DY8" s="1">
        <f t="shared" si="27"/>
        <v>8584.556576584297</v>
      </c>
      <c r="DZ8" s="1">
        <f t="shared" si="27"/>
        <v>8615.106599988512</v>
      </c>
      <c r="EA8" s="1">
        <f t="shared" si="27"/>
        <v>8645.656623392724</v>
      </c>
      <c r="EB8" s="1">
        <f aca="true" t="shared" si="28" ref="EB8:EG8">no_of_rams*(EB4-EA17)*14.5/2.2/(0.0254^2)*9.81*ram_csa</f>
        <v>8676.20664679694</v>
      </c>
      <c r="EC8" s="1">
        <f t="shared" si="28"/>
        <v>8706.756670201155</v>
      </c>
      <c r="ED8" s="1">
        <f t="shared" si="28"/>
        <v>8737.306693605371</v>
      </c>
      <c r="EE8" s="1">
        <f t="shared" si="28"/>
        <v>8767.856717009583</v>
      </c>
      <c r="EF8" s="1">
        <f t="shared" si="28"/>
        <v>8798.406740413797</v>
      </c>
      <c r="EG8" s="1">
        <f t="shared" si="28"/>
        <v>8828.956763818016</v>
      </c>
    </row>
    <row r="9" spans="1:137" ht="12.75">
      <c r="A9" t="s">
        <v>18</v>
      </c>
      <c r="B9" s="1">
        <v>0</v>
      </c>
      <c r="C9" s="1">
        <f>MAX(0,(C16/(Mass_of_flipper+mass_to_throw))-9.81)</f>
        <v>48.158564088522525</v>
      </c>
      <c r="D9" s="1">
        <f aca="true" t="shared" si="29" ref="D9:BO9">MAX(0,(D16/(Mass_of_flipper+mass_to_throw))-9.81)</f>
        <v>38.15045757754537</v>
      </c>
      <c r="E9" s="1">
        <f t="shared" si="29"/>
        <v>29.116190283407825</v>
      </c>
      <c r="F9" s="1">
        <f t="shared" si="29"/>
        <v>23.525007975347584</v>
      </c>
      <c r="G9" s="1">
        <f t="shared" si="29"/>
        <v>19.73523005689507</v>
      </c>
      <c r="H9" s="1">
        <f t="shared" si="29"/>
        <v>16.997046099964216</v>
      </c>
      <c r="I9" s="1">
        <f t="shared" si="29"/>
        <v>14.924535658672669</v>
      </c>
      <c r="J9" s="1">
        <f t="shared" si="29"/>
        <v>13.299738566249308</v>
      </c>
      <c r="K9" s="1">
        <f t="shared" si="29"/>
        <v>11.990402528848575</v>
      </c>
      <c r="L9" s="1">
        <f t="shared" si="29"/>
        <v>10.911618349848917</v>
      </c>
      <c r="M9" s="1">
        <f t="shared" si="29"/>
        <v>10.00633916357845</v>
      </c>
      <c r="N9" s="1">
        <f t="shared" si="29"/>
        <v>9.234783830948674</v>
      </c>
      <c r="O9" s="1">
        <f t="shared" si="29"/>
        <v>8.568337362843161</v>
      </c>
      <c r="P9" s="1">
        <f t="shared" si="29"/>
        <v>7.985870128877204</v>
      </c>
      <c r="Q9" s="1">
        <f t="shared" si="29"/>
        <v>7.47142613910661</v>
      </c>
      <c r="R9" s="1">
        <f t="shared" si="29"/>
        <v>7.012720634475171</v>
      </c>
      <c r="S9" s="1">
        <f t="shared" si="29"/>
        <v>6.600134308752713</v>
      </c>
      <c r="T9" s="1">
        <f t="shared" si="29"/>
        <v>6.226022353524678</v>
      </c>
      <c r="U9" s="1">
        <f t="shared" si="29"/>
        <v>5.884228844646309</v>
      </c>
      <c r="V9" s="1">
        <f t="shared" si="29"/>
        <v>5.569738478734701</v>
      </c>
      <c r="W9" s="1">
        <f t="shared" si="29"/>
        <v>5.278422264965267</v>
      </c>
      <c r="X9" s="1">
        <f t="shared" si="29"/>
        <v>5.006848791947403</v>
      </c>
      <c r="Y9" s="1">
        <f t="shared" si="29"/>
        <v>4.752142097802144</v>
      </c>
      <c r="Z9" s="1">
        <f t="shared" si="29"/>
        <v>4.51187320753986</v>
      </c>
      <c r="AA9" s="1">
        <f t="shared" si="29"/>
        <v>4.283976357685228</v>
      </c>
      <c r="AB9" s="1">
        <f t="shared" si="29"/>
        <v>4.066683571404239</v>
      </c>
      <c r="AC9" s="1">
        <f t="shared" si="29"/>
        <v>3.858473045184345</v>
      </c>
      <c r="AD9" s="1">
        <f t="shared" si="29"/>
        <v>3.658028050845573</v>
      </c>
      <c r="AE9" s="1">
        <f t="shared" si="29"/>
        <v>3.4642039286093933</v>
      </c>
      <c r="AF9" s="1">
        <f t="shared" si="29"/>
        <v>3.276001367228769</v>
      </c>
      <c r="AG9" s="1">
        <f t="shared" si="29"/>
        <v>3.092544614090837</v>
      </c>
      <c r="AH9" s="1">
        <f t="shared" si="29"/>
        <v>2.9130635840304713</v>
      </c>
      <c r="AI9" s="1">
        <f t="shared" si="29"/>
        <v>2.7368790757790187</v>
      </c>
      <c r="AJ9" s="1">
        <f t="shared" si="29"/>
        <v>2.8162064715804256</v>
      </c>
      <c r="AK9" s="1">
        <f t="shared" si="29"/>
        <v>4.966897082150181</v>
      </c>
      <c r="AL9" s="1">
        <f t="shared" si="29"/>
        <v>5.395562764276184</v>
      </c>
      <c r="AM9" s="1">
        <f t="shared" si="29"/>
        <v>5.824228446402179</v>
      </c>
      <c r="AN9" s="1">
        <f t="shared" si="29"/>
        <v>6.252894128528181</v>
      </c>
      <c r="AO9" s="1">
        <f t="shared" si="29"/>
        <v>6.681559810654184</v>
      </c>
      <c r="AP9" s="1">
        <f t="shared" si="29"/>
        <v>7.110225492780183</v>
      </c>
      <c r="AQ9" s="1">
        <f t="shared" si="29"/>
        <v>7.5388911749061815</v>
      </c>
      <c r="AR9" s="1">
        <f t="shared" si="29"/>
        <v>7.9675568570321875</v>
      </c>
      <c r="AS9" s="1">
        <f t="shared" si="29"/>
        <v>8.396222539158186</v>
      </c>
      <c r="AT9" s="1">
        <f t="shared" si="29"/>
        <v>8.824888221284185</v>
      </c>
      <c r="AU9" s="1">
        <f t="shared" si="29"/>
        <v>9.253553903410184</v>
      </c>
      <c r="AV9" s="1">
        <f t="shared" si="29"/>
        <v>9.682219585536183</v>
      </c>
      <c r="AW9" s="1">
        <f t="shared" si="29"/>
        <v>10.110885267662178</v>
      </c>
      <c r="AX9" s="1">
        <f t="shared" si="29"/>
        <v>10.539550949788177</v>
      </c>
      <c r="AY9" s="1">
        <f t="shared" si="29"/>
        <v>10.968216631914183</v>
      </c>
      <c r="AZ9" s="1">
        <f t="shared" si="29"/>
        <v>11.396882314040182</v>
      </c>
      <c r="BA9" s="1">
        <f t="shared" si="29"/>
        <v>11.82554799616617</v>
      </c>
      <c r="BB9" s="1">
        <f t="shared" si="29"/>
        <v>12.25421367829218</v>
      </c>
      <c r="BC9" s="1">
        <f t="shared" si="29"/>
        <v>12.682879360418179</v>
      </c>
      <c r="BD9" s="1">
        <f t="shared" si="29"/>
        <v>13.111545042544181</v>
      </c>
      <c r="BE9" s="1">
        <f t="shared" si="29"/>
        <v>13.540210724670173</v>
      </c>
      <c r="BF9" s="1">
        <f t="shared" si="29"/>
        <v>13.968876406796172</v>
      </c>
      <c r="BG9" s="1">
        <f t="shared" si="29"/>
        <v>14.397542088922178</v>
      </c>
      <c r="BH9" s="1">
        <f t="shared" si="29"/>
        <v>14.826207771048173</v>
      </c>
      <c r="BI9" s="1">
        <f t="shared" si="29"/>
        <v>15.254873453174172</v>
      </c>
      <c r="BJ9" s="1">
        <f t="shared" si="29"/>
        <v>15.683539135300178</v>
      </c>
      <c r="BK9" s="1">
        <f t="shared" si="29"/>
        <v>16.112204817426175</v>
      </c>
      <c r="BL9" s="1">
        <f t="shared" si="29"/>
        <v>16.54087049955217</v>
      </c>
      <c r="BM9" s="1">
        <f t="shared" si="29"/>
        <v>16.96953618167818</v>
      </c>
      <c r="BN9" s="1">
        <f t="shared" si="29"/>
        <v>17.39820186380416</v>
      </c>
      <c r="BO9" s="1">
        <f t="shared" si="29"/>
        <v>17.826867545930178</v>
      </c>
      <c r="BP9" s="1">
        <f aca="true" t="shared" si="30" ref="BP9:CH9">MAX(0,(BP16/(Mass_of_flipper+mass_to_throw))-9.81)</f>
        <v>18.255533228056166</v>
      </c>
      <c r="BQ9" s="1">
        <f t="shared" si="30"/>
        <v>18.684198910182168</v>
      </c>
      <c r="BR9" s="1">
        <f t="shared" si="30"/>
        <v>19.112864592308163</v>
      </c>
      <c r="BS9" s="1">
        <f t="shared" si="30"/>
        <v>19.541530274434166</v>
      </c>
      <c r="BT9" s="1">
        <f t="shared" si="30"/>
        <v>19.97019595656017</v>
      </c>
      <c r="BU9" s="1">
        <f t="shared" si="30"/>
        <v>20.398861638686164</v>
      </c>
      <c r="BV9" s="1">
        <f t="shared" si="30"/>
        <v>20.827527320812166</v>
      </c>
      <c r="BW9" s="1">
        <f t="shared" si="30"/>
        <v>21.25619300293816</v>
      </c>
      <c r="BX9" s="1">
        <f t="shared" si="30"/>
        <v>21.445297348819082</v>
      </c>
      <c r="BY9" s="1">
        <f t="shared" si="30"/>
        <v>21.582381986313905</v>
      </c>
      <c r="BZ9" s="1">
        <f t="shared" si="30"/>
        <v>21.719466623808728</v>
      </c>
      <c r="CA9" s="1">
        <f t="shared" si="30"/>
        <v>21.856551261303544</v>
      </c>
      <c r="CB9" s="1">
        <f t="shared" si="30"/>
        <v>21.993635898798374</v>
      </c>
      <c r="CC9" s="1">
        <f t="shared" si="30"/>
        <v>22.13072053629319</v>
      </c>
      <c r="CD9" s="1">
        <f t="shared" si="30"/>
        <v>22.267805173788012</v>
      </c>
      <c r="CE9" s="1">
        <f t="shared" si="30"/>
        <v>22.40488981128282</v>
      </c>
      <c r="CF9" s="1">
        <f t="shared" si="30"/>
        <v>22.541974448777644</v>
      </c>
      <c r="CG9" s="1">
        <f t="shared" si="30"/>
        <v>22.679059086272474</v>
      </c>
      <c r="CH9" s="1">
        <f t="shared" si="30"/>
        <v>22.81614372376729</v>
      </c>
      <c r="CI9" s="1">
        <f aca="true" t="shared" si="31" ref="CI9:CY9">MAX(0,(CI16/(Mass_of_flipper+mass_to_throw))-9.81)</f>
        <v>22.953228361262113</v>
      </c>
      <c r="CJ9" s="1">
        <f t="shared" si="31"/>
        <v>23.09031299875692</v>
      </c>
      <c r="CK9" s="1">
        <f t="shared" si="31"/>
        <v>23.227397636251744</v>
      </c>
      <c r="CL9" s="1">
        <f t="shared" si="31"/>
        <v>23.364482273746567</v>
      </c>
      <c r="CM9" s="1">
        <f t="shared" si="31"/>
        <v>23.50156691124139</v>
      </c>
      <c r="CN9" s="1">
        <f t="shared" si="31"/>
        <v>23.638651548736213</v>
      </c>
      <c r="CO9" s="1">
        <f t="shared" si="31"/>
        <v>23.77573618623103</v>
      </c>
      <c r="CP9" s="1">
        <f t="shared" si="31"/>
        <v>23.912820823725852</v>
      </c>
      <c r="CQ9" s="1">
        <f t="shared" si="31"/>
        <v>24.049905461220668</v>
      </c>
      <c r="CR9" s="1">
        <f t="shared" si="31"/>
        <v>24.186990098715484</v>
      </c>
      <c r="CS9" s="1">
        <f t="shared" si="31"/>
        <v>24.3240747362103</v>
      </c>
      <c r="CT9" s="1">
        <f t="shared" si="31"/>
        <v>24.46115937370513</v>
      </c>
      <c r="CU9" s="1">
        <f t="shared" si="31"/>
        <v>24.598244011199952</v>
      </c>
      <c r="CV9" s="1">
        <f t="shared" si="31"/>
        <v>24.735328648694768</v>
      </c>
      <c r="CW9" s="1">
        <f t="shared" si="31"/>
        <v>24.872413286189598</v>
      </c>
      <c r="CX9" s="1">
        <f t="shared" si="31"/>
        <v>25.009497923684407</v>
      </c>
      <c r="CY9" s="1">
        <f t="shared" si="31"/>
        <v>25.14658256117923</v>
      </c>
      <c r="CZ9" s="1">
        <f aca="true" t="shared" si="32" ref="CZ9:EG9">MAX(0,(CZ16/(Mass_of_flipper+mass_to_throw))-9.81)</f>
        <v>25.283667198674053</v>
      </c>
      <c r="DA9" s="1">
        <f t="shared" si="32"/>
        <v>25.42075183616887</v>
      </c>
      <c r="DB9" s="1">
        <f t="shared" si="32"/>
        <v>25.557836473663684</v>
      </c>
      <c r="DC9" s="1">
        <f t="shared" si="32"/>
        <v>25.694921111158507</v>
      </c>
      <c r="DD9" s="1">
        <f t="shared" si="32"/>
        <v>25.832005748653337</v>
      </c>
      <c r="DE9" s="1">
        <f t="shared" si="32"/>
        <v>25.969090386148146</v>
      </c>
      <c r="DF9" s="1">
        <f t="shared" si="32"/>
        <v>26.106175023642976</v>
      </c>
      <c r="DG9" s="1">
        <f t="shared" si="32"/>
        <v>26.24325966113779</v>
      </c>
      <c r="DH9" s="1">
        <f t="shared" si="32"/>
        <v>26.380344298632608</v>
      </c>
      <c r="DI9" s="1">
        <f t="shared" si="32"/>
        <v>26.517428936127423</v>
      </c>
      <c r="DJ9" s="1">
        <f t="shared" si="32"/>
        <v>26.654513573622253</v>
      </c>
      <c r="DK9" s="1">
        <f t="shared" si="32"/>
        <v>26.791598211117076</v>
      </c>
      <c r="DL9" s="1">
        <f t="shared" si="32"/>
        <v>26.928682848611885</v>
      </c>
      <c r="DM9" s="1">
        <f t="shared" si="32"/>
        <v>27.065767486106708</v>
      </c>
      <c r="DN9" s="1">
        <f t="shared" si="32"/>
        <v>27.20285212360153</v>
      </c>
      <c r="DO9" s="1">
        <f t="shared" si="32"/>
        <v>27.339936761096354</v>
      </c>
      <c r="DP9" s="1">
        <f t="shared" si="32"/>
        <v>27.47702139859117</v>
      </c>
      <c r="DQ9" s="1">
        <f t="shared" si="32"/>
        <v>27.614106036085985</v>
      </c>
      <c r="DR9" s="1">
        <f t="shared" si="32"/>
        <v>27.751190673580815</v>
      </c>
      <c r="DS9" s="1">
        <f t="shared" si="32"/>
        <v>27.88827531107564</v>
      </c>
      <c r="DT9" s="1">
        <f t="shared" si="32"/>
        <v>28.025359948570447</v>
      </c>
      <c r="DU9" s="1">
        <f t="shared" si="32"/>
        <v>28.162444586065277</v>
      </c>
      <c r="DV9" s="1">
        <f t="shared" si="32"/>
        <v>28.2995292235601</v>
      </c>
      <c r="DW9" s="1">
        <f t="shared" si="32"/>
        <v>28.4366138610549</v>
      </c>
      <c r="DX9" s="1">
        <f t="shared" si="32"/>
        <v>28.573698498549724</v>
      </c>
      <c r="DY9" s="1">
        <f t="shared" si="32"/>
        <v>28.710783136044547</v>
      </c>
      <c r="DZ9" s="1">
        <f t="shared" si="32"/>
        <v>28.847867773539377</v>
      </c>
      <c r="EA9" s="1">
        <f t="shared" si="32"/>
        <v>28.984952411034186</v>
      </c>
      <c r="EB9" s="1">
        <f t="shared" si="32"/>
        <v>29.12203704852901</v>
      </c>
      <c r="EC9" s="1">
        <f t="shared" si="32"/>
        <v>29.259121686023832</v>
      </c>
      <c r="ED9" s="1">
        <f t="shared" si="32"/>
        <v>29.396206323518662</v>
      </c>
      <c r="EE9" s="1">
        <f t="shared" si="32"/>
        <v>29.533290961013464</v>
      </c>
      <c r="EF9" s="1">
        <f t="shared" si="32"/>
        <v>29.67037559850828</v>
      </c>
      <c r="EG9" s="1">
        <f t="shared" si="32"/>
        <v>29.807460236003124</v>
      </c>
    </row>
    <row r="10" spans="1:137" ht="12.75">
      <c r="A10" t="s">
        <v>19</v>
      </c>
      <c r="B10" s="1">
        <v>0</v>
      </c>
      <c r="C10" s="1">
        <f>MIN(IF((stroke-0.005)&lt;B13,Max_flipper_height,(B10+(C12*t)+(0.5*C9*t^2))),Max_flipper_height)</f>
        <v>0.0032105709392348356</v>
      </c>
      <c r="D10" s="1">
        <f>MIN(IF((stroke-0.005)&lt;C13,Max_flipper_height,(C10+(D12*t)+(0.5*D9*t^2))),Max_flipper_height)</f>
        <v>0.007894315403894417</v>
      </c>
      <c r="E10" s="1">
        <f>MIN(IF((stroke-0.005)&lt;D13,Max_flipper_height,(D10+(E12*t)+(0.5*E9*t^2))),Max_flipper_height)</f>
        <v>0.013671351274613512</v>
      </c>
      <c r="F10" s="1">
        <f>MIN(IF((stroke-0.005)&lt;E13,Max_flipper_height,(E10+(F12*t)+(0.5*F9*t^2))),Max_flipper_height)</f>
        <v>0.020369694559613384</v>
      </c>
      <c r="G10" s="1">
        <f>MIN(IF((stroke-0.005)&lt;F13,Max_flipper_height,(F10+(G12*t)+(0.5*G9*t^2))),Max_flipper_height)</f>
        <v>0.02786094189339854</v>
      </c>
      <c r="H10" s="1">
        <f>MIN(IF((stroke-0.005)&lt;G13,Max_flipper_height,(G10+(H12*t)+(0.5*H9*t^2))),Max_flipper_height)</f>
        <v>0.036046764965916966</v>
      </c>
      <c r="I10" s="1">
        <f>MIN(IF((stroke-0.005)&lt;H13,Max_flipper_height,(H10+(I12*t)+(0.5*I9*t^2))),Max_flipper_height)</f>
        <v>0.04484984494679215</v>
      </c>
      <c r="J10" s="1">
        <f>MIN(IF((stroke-0.005)&lt;I13,Max_flipper_height,(I10+(J12*t)+(0.5*J9*t^2))),Max_flipper_height)</f>
        <v>0.054207917817446785</v>
      </c>
      <c r="K10" s="1">
        <f>MIN(IF((stroke-0.005)&lt;J13,Max_flipper_height,(J10+(K12*t)+(0.5*K9*t^2))),Max_flipper_height)</f>
        <v>0.06406980111077466</v>
      </c>
      <c r="L10" s="1">
        <f>MIN(IF((stroke-0.005)&lt;K13,Max_flipper_height,(K10+(L12*t)+(0.5*L9*t^2))),Max_flipper_height)</f>
        <v>0.07439267223789583</v>
      </c>
      <c r="M10" s="1">
        <f>MIN(IF((stroke-0.005)&lt;L13,Max_flipper_height,(L10+(M12*t)+(0.5*M9*t^2))),Max_flipper_height)</f>
        <v>0.08514015223481448</v>
      </c>
      <c r="N10" s="1">
        <f>MIN(IF((stroke-0.005)&lt;M13,Max_flipper_height,(M10+(N12*t)+(0.5*N9*t^2))),Max_flipper_height)</f>
        <v>0.09628092139460574</v>
      </c>
      <c r="O10" s="1">
        <f>MIN(IF((stroke-0.005)&lt;N13,Max_flipper_height,(N10+(O12*t)+(0.5*O9*t^2))),Max_flipper_height)</f>
        <v>0.1077876956267877</v>
      </c>
      <c r="P10" s="1">
        <f>MIN(IF((stroke-0.005)&lt;O13,Max_flipper_height,(O10+(P12*t)+(0.5*P9*t^2))),Max_flipper_height)</f>
        <v>0.11963645370394273</v>
      </c>
      <c r="Q10" s="1">
        <f>MIN(IF((stroke-0.005)&lt;P13,Max_flipper_height,(P10+(Q12*t)+(0.5*Q9*t^2))),Max_flipper_height)</f>
        <v>0.13180584307639648</v>
      </c>
      <c r="R10" s="1">
        <f>MIN(IF((stroke-0.005)&lt;Q13,Max_flipper_height,(Q10+(R12*t)+(0.5*R9*t^2))),Max_flipper_height)</f>
        <v>0.1442767154658351</v>
      </c>
      <c r="S10" s="1">
        <f>MIN(IF((stroke-0.005)&lt;R13,Max_flipper_height,(R10+(S12*t)+(0.5*S9*t^2))),Max_flipper_height)</f>
        <v>0.15703175857286888</v>
      </c>
      <c r="T10" s="1">
        <f>MIN(IF((stroke-0.005)&lt;S13,Max_flipper_height,(S10+(T12*t)+(0.5*T9*t^2))),Max_flipper_height)</f>
        <v>0.17005520018549872</v>
      </c>
      <c r="U10" s="1">
        <f>MIN(IF((stroke-0.005)&lt;T13,Max_flipper_height,(T10+(U12*t)+(0.5*U9*t^2))),Max_flipper_height)</f>
        <v>0.1833325676688044</v>
      </c>
      <c r="V10" s="1">
        <f>MIN(IF((stroke-0.005)&lt;U13,Max_flipper_height,(U10+(V12*t)+(0.5*V9*t^2))),Max_flipper_height)</f>
        <v>0.19685049040970026</v>
      </c>
      <c r="W10" s="1">
        <f>MIN(IF((stroke-0.005)&lt;V13,Max_flipper_height,(V10+(W12*t)+(0.5*W9*t^2))),Max_flipper_height)</f>
        <v>0.21059653600206638</v>
      </c>
      <c r="X10" s="1">
        <f>MIN(IF((stroke-0.005)&lt;W13,Max_flipper_height,(W10+(X12*t)+(0.5*X9*t^2))),Max_flipper_height)</f>
        <v>0.22455907324134086</v>
      </c>
      <c r="Y10" s="1">
        <f>MIN(IF((stroke-0.005)&lt;X13,Max_flipper_height,(X10+(Y12*t)+(0.5*Y9*t^2))),Max_flipper_height)</f>
        <v>0.23872715664731445</v>
      </c>
      <c r="Z10" s="1">
        <f>MIN(IF((stroke-0.005)&lt;Y13,Max_flipper_height,(Y10+(Z12*t)+(0.5*Z9*t^2))),Max_flipper_height)</f>
        <v>0.2530904284427284</v>
      </c>
      <c r="AA10" s="1">
        <f>MIN(IF((stroke-0.005)&lt;Z13,Max_flipper_height,(Z10+(AA12*t)+(0.5*AA9*t^2))),Max_flipper_height)</f>
        <v>0.2676390348129316</v>
      </c>
      <c r="AB10" s="1">
        <f>MIN(IF((stroke-0.005)&lt;AA13,Max_flipper_height,(AA10+(AB12*t)+(0.5*AB9*t^2))),Max_flipper_height)</f>
        <v>0.2823635539466132</v>
      </c>
      <c r="AC10" s="1">
        <f>MIN(IF((stroke-0.005)&lt;AB13,Max_flipper_height,(AB10+(AC12*t)+(0.5*AC9*t^2))),Max_flipper_height)</f>
        <v>0.2972549338706092</v>
      </c>
      <c r="AD10" s="1">
        <f>MIN(IF((stroke-0.005)&lt;AC13,Max_flipper_height,(AC10+(AD12*t)+(0.5*AD9*t^2))),Max_flipper_height)</f>
        <v>0.3123044384858797</v>
      </c>
      <c r="AE10" s="1">
        <f>MIN(IF((stroke-0.005)&lt;AD13,Max_flipper_height,(AD10+(AE12*t)+(0.5*AE9*t^2))),Max_flipper_height)</f>
        <v>0.3275036005174831</v>
      </c>
      <c r="AF10" s="1">
        <f>MIN(IF((stroke-0.005)&lt;AE13,Max_flipper_height,(AE10+(AF12*t)+(0.5*AF9*t^2))),Max_flipper_height)</f>
        <v>0.3428441803307105</v>
      </c>
      <c r="AG10" s="1">
        <f>MIN(IF((stroke-0.005)&lt;AF13,Max_flipper_height,(AF10+(AG12*t)+(0.5*AG9*t^2))),Max_flipper_height)</f>
        <v>0.35831812975449445</v>
      </c>
      <c r="AH10" s="1">
        <f>MIN(IF((stroke-0.005)&lt;AG13,Max_flipper_height,(AG10+(AH12*t)+(0.5*AH9*t^2))),Max_flipper_height)</f>
        <v>0.3739175602035673</v>
      </c>
      <c r="AI10" s="1">
        <f>MIN(IF((stroke-0.005)&lt;AH13,Max_flipper_height,(AH10+(AI12*t)+(0.5*AI9*t^2))),Max_flipper_height)</f>
        <v>0.38200797062000164</v>
      </c>
      <c r="AJ10" s="1">
        <f>MIN(IF((stroke-0.005)&lt;AI13,Max_flipper_height,(AI10+(AJ12*t)+(0.5*AJ9*t^2))),Max_flipper_height)</f>
        <v>0.38200797062000164</v>
      </c>
      <c r="AK10" s="1">
        <f>MIN(IF((stroke-0.005)&lt;AJ13,Max_flipper_height,(AJ10+(AK12*t)+(0.5*AK9*t^2))),Max_flipper_height)</f>
        <v>0.38200797062000164</v>
      </c>
      <c r="AL10" s="1">
        <f>MIN(IF((stroke-0.005)&lt;AK13,Max_flipper_height,(AK10+(AL12*t)+(0.5*AL9*t^2))),Max_flipper_height)</f>
        <v>0.38200797062000164</v>
      </c>
      <c r="AM10" s="1">
        <f>MIN(IF((stroke-0.005)&lt;AL13,Max_flipper_height,(AL10+(AM12*t)+(0.5*AM9*t^2))),Max_flipper_height)</f>
        <v>0.38200797062000164</v>
      </c>
      <c r="AN10" s="1">
        <f>MIN(IF((stroke-0.005)&lt;AM13,Max_flipper_height,(AM10+(AN12*t)+(0.5*AN9*t^2))),Max_flipper_height)</f>
        <v>0.38200797062000164</v>
      </c>
      <c r="AO10" s="1">
        <f>MIN(IF((stroke-0.005)&lt;AN13,Max_flipper_height,(AN10+(AO12*t)+(0.5*AO9*t^2))),Max_flipper_height)</f>
        <v>0.38200797062000164</v>
      </c>
      <c r="AP10" s="1">
        <f>MIN(IF((stroke-0.005)&lt;AO13,Max_flipper_height,(AO10+(AP12*t)+(0.5*AP9*t^2))),Max_flipper_height)</f>
        <v>0.38200797062000164</v>
      </c>
      <c r="AQ10" s="1">
        <f>MIN(IF((stroke-0.005)&lt;AP13,Max_flipper_height,(AP10+(AQ12*t)+(0.5*AQ9*t^2))),Max_flipper_height)</f>
        <v>0.38200797062000164</v>
      </c>
      <c r="AR10" s="1">
        <f>MIN(IF((stroke-0.005)&lt;AQ13,Max_flipper_height,(AQ10+(AR12*t)+(0.5*AR9*t^2))),Max_flipper_height)</f>
        <v>0.38200797062000164</v>
      </c>
      <c r="AS10" s="1">
        <f>MIN(IF((stroke-0.005)&lt;AR13,Max_flipper_height,(AR10+(AS12*t)+(0.5*AS9*t^2))),Max_flipper_height)</f>
        <v>0.38200797062000164</v>
      </c>
      <c r="AT10" s="1">
        <f>MIN(IF((stroke-0.005)&lt;AS13,Max_flipper_height,(AS10+(AT12*t)+(0.5*AT9*t^2))),Max_flipper_height)</f>
        <v>0.38200797062000164</v>
      </c>
      <c r="AU10" s="1">
        <f>MIN(IF((stroke-0.005)&lt;AT13,Max_flipper_height,(AT10+(AU12*t)+(0.5*AU9*t^2))),Max_flipper_height)</f>
        <v>0.38200797062000164</v>
      </c>
      <c r="AV10" s="1">
        <f>MIN(IF((stroke-0.005)&lt;AU13,Max_flipper_height,(AU10+(AV12*t)+(0.5*AV9*t^2))),Max_flipper_height)</f>
        <v>0.38200797062000164</v>
      </c>
      <c r="AW10" s="1">
        <f>MIN(IF((stroke-0.005)&lt;AV13,Max_flipper_height,(AV10+(AW12*t)+(0.5*AW9*t^2))),Max_flipper_height)</f>
        <v>0.38200797062000164</v>
      </c>
      <c r="AX10" s="1">
        <f>MIN(IF((stroke-0.005)&lt;AW13,Max_flipper_height,(AW10+(AX12*t)+(0.5*AX9*t^2))),Max_flipper_height)</f>
        <v>0.38200797062000164</v>
      </c>
      <c r="AY10" s="1">
        <f>MIN(IF((stroke-0.005)&lt;AX13,Max_flipper_height,(AX10+(AY12*t)+(0.5*AY9*t^2))),Max_flipper_height)</f>
        <v>0.38200797062000164</v>
      </c>
      <c r="AZ10" s="1">
        <f>MIN(IF((stroke-0.005)&lt;AY13,Max_flipper_height,(AY10+(AZ12*t)+(0.5*AZ9*t^2))),Max_flipper_height)</f>
        <v>0.38200797062000164</v>
      </c>
      <c r="BA10" s="1">
        <f>MIN(IF((stroke-0.005)&lt;AZ13,Max_flipper_height,(AZ10+(BA12*t)+(0.5*BA9*t^2))),Max_flipper_height)</f>
        <v>0.38200797062000164</v>
      </c>
      <c r="BB10" s="1">
        <f>MIN(IF((stroke-0.005)&lt;BA13,Max_flipper_height,(BA10+(BB12*t)+(0.5*BB9*t^2))),Max_flipper_height)</f>
        <v>0.38200797062000164</v>
      </c>
      <c r="BC10" s="1">
        <f>MIN(IF((stroke-0.005)&lt;BB13,Max_flipper_height,(BB10+(BC12*t)+(0.5*BC9*t^2))),Max_flipper_height)</f>
        <v>0.38200797062000164</v>
      </c>
      <c r="BD10" s="1">
        <f>MIN(IF((stroke-0.005)&lt;BC13,Max_flipper_height,(BC10+(BD12*t)+(0.5*BD9*t^2))),Max_flipper_height)</f>
        <v>0.38200797062000164</v>
      </c>
      <c r="BE10" s="1">
        <f>MIN(IF((stroke-0.005)&lt;BD13,Max_flipper_height,(BD10+(BE12*t)+(0.5*BE9*t^2))),Max_flipper_height)</f>
        <v>0.38200797062000164</v>
      </c>
      <c r="BF10" s="1">
        <f>MIN(IF((stroke-0.005)&lt;BE13,Max_flipper_height,(BE10+(BF12*t)+(0.5*BF9*t^2))),Max_flipper_height)</f>
        <v>0.38200797062000164</v>
      </c>
      <c r="BG10" s="1">
        <f>MIN(IF((stroke-0.005)&lt;BF13,Max_flipper_height,(BF10+(BG12*t)+(0.5*BG9*t^2))),Max_flipper_height)</f>
        <v>0.38200797062000164</v>
      </c>
      <c r="BH10" s="1">
        <f>MIN(IF((stroke-0.005)&lt;BG13,Max_flipper_height,(BG10+(BH12*t)+(0.5*BH9*t^2))),Max_flipper_height)</f>
        <v>0.38200797062000164</v>
      </c>
      <c r="BI10" s="1">
        <f>MIN(IF((stroke-0.005)&lt;BH13,Max_flipper_height,(BH10+(BI12*t)+(0.5*BI9*t^2))),Max_flipper_height)</f>
        <v>0.38200797062000164</v>
      </c>
      <c r="BJ10" s="1">
        <f>MIN(IF((stroke-0.005)&lt;BI13,Max_flipper_height,(BI10+(BJ12*t)+(0.5*BJ9*t^2))),Max_flipper_height)</f>
        <v>0.38200797062000164</v>
      </c>
      <c r="BK10" s="1">
        <f>MIN(IF((stroke-0.005)&lt;BJ13,Max_flipper_height,(BJ10+(BK12*t)+(0.5*BK9*t^2))),Max_flipper_height)</f>
        <v>0.38200797062000164</v>
      </c>
      <c r="BL10" s="1">
        <f>MIN(IF((stroke-0.005)&lt;BK13,Max_flipper_height,(BK10+(BL12*t)+(0.5*BL9*t^2))),Max_flipper_height)</f>
        <v>0.38200797062000164</v>
      </c>
      <c r="BM10" s="1">
        <f>MIN(IF((stroke-0.005)&lt;BL13,Max_flipper_height,(BL10+(BM12*t)+(0.5*BM9*t^2))),Max_flipper_height)</f>
        <v>0.38200797062000164</v>
      </c>
      <c r="BN10" s="1">
        <f>MIN(IF((stroke-0.005)&lt;BM13,Max_flipper_height,(BM10+(BN12*t)+(0.5*BN9*t^2))),Max_flipper_height)</f>
        <v>0.38200797062000164</v>
      </c>
      <c r="BO10" s="1">
        <f>MIN(IF((stroke-0.005)&lt;BN13,Max_flipper_height,(BN10+(BO12*t)+(0.5*BO9*t^2))),Max_flipper_height)</f>
        <v>0.38200797062000164</v>
      </c>
      <c r="BP10" s="1">
        <f>MIN(IF((stroke-0.005)&lt;BO13,Max_flipper_height,(BO10+(BP12*t)+(0.5*BP9*t^2))),Max_flipper_height)</f>
        <v>0.38200797062000164</v>
      </c>
      <c r="BQ10" s="1">
        <f>MIN(IF((stroke-0.005)&lt;BP13,Max_flipper_height,(BP10+(BQ12*t)+(0.5*BQ9*t^2))),Max_flipper_height)</f>
        <v>0.38200797062000164</v>
      </c>
      <c r="BR10" s="1">
        <f>MIN(IF((stroke-0.005)&lt;BQ13,Max_flipper_height,(BQ10+(BR12*t)+(0.5*BR9*t^2))),Max_flipper_height)</f>
        <v>0.38200797062000164</v>
      </c>
      <c r="BS10" s="1">
        <f>MIN(IF((stroke-0.005)&lt;BR13,Max_flipper_height,(BR10+(BS12*t)+(0.5*BS9*t^2))),Max_flipper_height)</f>
        <v>0.38200797062000164</v>
      </c>
      <c r="BT10" s="1">
        <f>MIN(IF((stroke-0.005)&lt;BS13,Max_flipper_height,(BS10+(BT12*t)+(0.5*BT9*t^2))),Max_flipper_height)</f>
        <v>0.38200797062000164</v>
      </c>
      <c r="BU10" s="1">
        <f>MIN(IF((stroke-0.005)&lt;BT13,Max_flipper_height,(BT10+(BU12*t)+(0.5*BU9*t^2))),Max_flipper_height)</f>
        <v>0.38200797062000164</v>
      </c>
      <c r="BV10" s="1">
        <f>MIN(IF((stroke-0.005)&lt;BU13,Max_flipper_height,(BU10+(BV12*t)+(0.5*BV9*t^2))),Max_flipper_height)</f>
        <v>0.38200797062000164</v>
      </c>
      <c r="BW10" s="1">
        <f>MIN(IF((stroke-0.005)&lt;BV13,Max_flipper_height,(BV10+(BW12*t)+(0.5*BW9*t^2))),Max_flipper_height)</f>
        <v>0.38200797062000164</v>
      </c>
      <c r="BX10" s="1">
        <f>MIN(IF((stroke-0.005)&lt;BW13,Max_flipper_height,(BW10+(BX12*t)+(0.5*BX9*t^2))),Max_flipper_height)</f>
        <v>0.38200797062000164</v>
      </c>
      <c r="BY10" s="1">
        <f>MIN(IF((stroke-0.005)&lt;BX13,Max_flipper_height,(BX10+(BY12*t)+(0.5*BY9*t^2))),Max_flipper_height)</f>
        <v>0.38200797062000164</v>
      </c>
      <c r="BZ10" s="1">
        <f>MIN(IF((stroke-0.005)&lt;BY13,Max_flipper_height,(BY10+(BZ12*t)+(0.5*BZ9*t^2))),Max_flipper_height)</f>
        <v>0.38200797062000164</v>
      </c>
      <c r="CA10" s="1">
        <f>MIN(IF((stroke-0.005)&lt;BZ13,Max_flipper_height,(BZ10+(CA12*t)+(0.5*CA9*t^2))),Max_flipper_height)</f>
        <v>0.38200797062000164</v>
      </c>
      <c r="CB10" s="1">
        <f>MIN(IF((stroke-0.005)&lt;CA13,Max_flipper_height,(CA10+(CB12*t)+(0.5*CB9*t^2))),Max_flipper_height)</f>
        <v>0.38200797062000164</v>
      </c>
      <c r="CC10" s="1">
        <f>MIN(IF((stroke-0.005)&lt;CB13,Max_flipper_height,(CB10+(CC12*t)+(0.5*CC9*t^2))),Max_flipper_height)</f>
        <v>0.38200797062000164</v>
      </c>
      <c r="CD10" s="1">
        <f>MIN(IF((stroke-0.005)&lt;CC13,Max_flipper_height,(CC10+(CD12*t)+(0.5*CD9*t^2))),Max_flipper_height)</f>
        <v>0.38200797062000164</v>
      </c>
      <c r="CE10" s="1">
        <f>MIN(IF((stroke-0.005)&lt;CD13,Max_flipper_height,(CD10+(CE12*t)+(0.5*CE9*t^2))),Max_flipper_height)</f>
        <v>0.38200797062000164</v>
      </c>
      <c r="CF10" s="1">
        <f>MIN(IF((stroke-0.005)&lt;CE13,Max_flipper_height,(CE10+(CF12*t)+(0.5*CF9*t^2))),Max_flipper_height)</f>
        <v>0.38200797062000164</v>
      </c>
      <c r="CG10" s="1">
        <f>MIN(IF((stroke-0.005)&lt;CF13,Max_flipper_height,(CF10+(CG12*t)+(0.5*CG9*t^2))),Max_flipper_height)</f>
        <v>0.38200797062000164</v>
      </c>
      <c r="CH10" s="1">
        <f>MIN(IF((stroke-0.005)&lt;CG13,Max_flipper_height,(CG10+(CH12*t)+(0.5*CH9*t^2))),Max_flipper_height)</f>
        <v>0.38200797062000164</v>
      </c>
      <c r="CI10" s="1">
        <f>MIN(IF((stroke-0.005)&lt;CH13,Max_flipper_height,(CH10+(CI12*t)+(0.5*CI9*t^2))),Max_flipper_height)</f>
        <v>0.38200797062000164</v>
      </c>
      <c r="CJ10" s="1">
        <f>MIN(IF((stroke-0.005)&lt;CI13,Max_flipper_height,(CI10+(CJ12*t)+(0.5*CJ9*t^2))),Max_flipper_height)</f>
        <v>0.38200797062000164</v>
      </c>
      <c r="CK10" s="1">
        <f>MIN(IF((stroke-0.005)&lt;CJ13,Max_flipper_height,(CJ10+(CK12*t)+(0.5*CK9*t^2))),Max_flipper_height)</f>
        <v>0.38200797062000164</v>
      </c>
      <c r="CL10" s="1">
        <f>MIN(IF((stroke-0.005)&lt;CK13,Max_flipper_height,(CK10+(CL12*t)+(0.5*CL9*t^2))),Max_flipper_height)</f>
        <v>0.38200797062000164</v>
      </c>
      <c r="CM10" s="1">
        <f>MIN(IF((stroke-0.005)&lt;CL13,Max_flipper_height,(CL10+(CM12*t)+(0.5*CM9*t^2))),Max_flipper_height)</f>
        <v>0.38200797062000164</v>
      </c>
      <c r="CN10" s="1">
        <f>MIN(IF((stroke-0.005)&lt;CM13,Max_flipper_height,(CM10+(CN12*t)+(0.5*CN9*t^2))),Max_flipper_height)</f>
        <v>0.38200797062000164</v>
      </c>
      <c r="CO10" s="1">
        <f>MIN(IF((stroke-0.005)&lt;CN13,Max_flipper_height,(CN10+(CO12*t)+(0.5*CO9*t^2))),Max_flipper_height)</f>
        <v>0.38200797062000164</v>
      </c>
      <c r="CP10" s="1">
        <f>MIN(IF((stroke-0.005)&lt;CO13,Max_flipper_height,(CO10+(CP12*t)+(0.5*CP9*t^2))),Max_flipper_height)</f>
        <v>0.38200797062000164</v>
      </c>
      <c r="CQ10" s="1">
        <f>MIN(IF((stroke-0.005)&lt;CP13,Max_flipper_height,(CP10+(CQ12*t)+(0.5*CQ9*t^2))),Max_flipper_height)</f>
        <v>0.38200797062000164</v>
      </c>
      <c r="CR10" s="1">
        <f>MIN(IF((stroke-0.005)&lt;CQ13,Max_flipper_height,(CQ10+(CR12*t)+(0.5*CR9*t^2))),Max_flipper_height)</f>
        <v>0.38200797062000164</v>
      </c>
      <c r="CS10" s="1">
        <f>MIN(IF((stroke-0.005)&lt;CR13,Max_flipper_height,(CR10+(CS12*t)+(0.5*CS9*t^2))),Max_flipper_height)</f>
        <v>0.38200797062000164</v>
      </c>
      <c r="CT10" s="1">
        <f>MIN(IF((stroke-0.005)&lt;CS13,Max_flipper_height,(CS10+(CT12*t)+(0.5*CT9*t^2))),Max_flipper_height)</f>
        <v>0.38200797062000164</v>
      </c>
      <c r="CU10" s="1">
        <f>MIN(IF((stroke-0.005)&lt;CT13,Max_flipper_height,(CT10+(CU12*t)+(0.5*CU9*t^2))),Max_flipper_height)</f>
        <v>0.38200797062000164</v>
      </c>
      <c r="CV10" s="1">
        <f>MIN(IF((stroke-0.005)&lt;CU13,Max_flipper_height,(CU10+(CV12*t)+(0.5*CV9*t^2))),Max_flipper_height)</f>
        <v>0.38200797062000164</v>
      </c>
      <c r="CW10" s="1">
        <f>MIN(IF((stroke-0.005)&lt;CV13,Max_flipper_height,(CV10+(CW12*t)+(0.5*CW9*t^2))),Max_flipper_height)</f>
        <v>0.38200797062000164</v>
      </c>
      <c r="CX10" s="1">
        <f>MIN(IF((stroke-0.005)&lt;CW13,Max_flipper_height,(CW10+(CX12*t)+(0.5*CX9*t^2))),Max_flipper_height)</f>
        <v>0.38200797062000164</v>
      </c>
      <c r="CY10" s="1">
        <f>MIN(IF((stroke-0.005)&lt;CX13,Max_flipper_height,(CX10+(CY12*t)+(0.5*CY9*t^2))),Max_flipper_height)</f>
        <v>0.38200797062000164</v>
      </c>
      <c r="CZ10" s="1">
        <f>MIN(IF((stroke-0.005)&lt;CY13,Max_flipper_height,(CY10+(CZ12*t)+(0.5*CZ9*t^2))),Max_flipper_height)</f>
        <v>0.38200797062000164</v>
      </c>
      <c r="DA10" s="1">
        <f>MIN(IF((stroke-0.005)&lt;CZ13,Max_flipper_height,(CZ10+(DA12*t)+(0.5*DA9*t^2))),Max_flipper_height)</f>
        <v>0.38200797062000164</v>
      </c>
      <c r="DB10" s="1">
        <f>MIN(IF((stroke-0.005)&lt;DA13,Max_flipper_height,(DA10+(DB12*t)+(0.5*DB9*t^2))),Max_flipper_height)</f>
        <v>0.38200797062000164</v>
      </c>
      <c r="DC10" s="1">
        <f>MIN(IF((stroke-0.005)&lt;DB13,Max_flipper_height,(DB10+(DC12*t)+(0.5*DC9*t^2))),Max_flipper_height)</f>
        <v>0.38200797062000164</v>
      </c>
      <c r="DD10" s="1">
        <f>MIN(IF((stroke-0.005)&lt;DC13,Max_flipper_height,(DC10+(DD12*t)+(0.5*DD9*t^2))),Max_flipper_height)</f>
        <v>0.38200797062000164</v>
      </c>
      <c r="DE10" s="1">
        <f>MIN(IF((stroke-0.005)&lt;DD13,Max_flipper_height,(DD10+(DE12*t)+(0.5*DE9*t^2))),Max_flipper_height)</f>
        <v>0.38200797062000164</v>
      </c>
      <c r="DF10" s="1">
        <f>MIN(IF((stroke-0.005)&lt;DE13,Max_flipper_height,(DE10+(DF12*t)+(0.5*DF9*t^2))),Max_flipper_height)</f>
        <v>0.38200797062000164</v>
      </c>
      <c r="DG10" s="1">
        <f>MIN(IF((stroke-0.005)&lt;DF13,Max_flipper_height,(DF10+(DG12*t)+(0.5*DG9*t^2))),Max_flipper_height)</f>
        <v>0.38200797062000164</v>
      </c>
      <c r="DH10" s="1">
        <f>MIN(IF((stroke-0.005)&lt;DG13,Max_flipper_height,(DG10+(DH12*t)+(0.5*DH9*t^2))),Max_flipper_height)</f>
        <v>0.38200797062000164</v>
      </c>
      <c r="DI10" s="1">
        <f>MIN(IF((stroke-0.005)&lt;DH13,Max_flipper_height,(DH10+(DI12*t)+(0.5*DI9*t^2))),Max_flipper_height)</f>
        <v>0.38200797062000164</v>
      </c>
      <c r="DJ10" s="1">
        <f>MIN(IF((stroke-0.005)&lt;DI13,Max_flipper_height,(DI10+(DJ12*t)+(0.5*DJ9*t^2))),Max_flipper_height)</f>
        <v>0.38200797062000164</v>
      </c>
      <c r="DK10" s="1">
        <f>MIN(IF((stroke-0.005)&lt;DJ13,Max_flipper_height,(DJ10+(DK12*t)+(0.5*DK9*t^2))),Max_flipper_height)</f>
        <v>0.38200797062000164</v>
      </c>
      <c r="DL10" s="1">
        <f>MIN(IF((stroke-0.005)&lt;DK13,Max_flipper_height,(DK10+(DL12*t)+(0.5*DL9*t^2))),Max_flipper_height)</f>
        <v>0.38200797062000164</v>
      </c>
      <c r="DM10" s="1">
        <f>MIN(IF((stroke-0.005)&lt;DL13,Max_flipper_height,(DL10+(DM12*t)+(0.5*DM9*t^2))),Max_flipper_height)</f>
        <v>0.38200797062000164</v>
      </c>
      <c r="DN10" s="1">
        <f>MIN(IF((stroke-0.005)&lt;DM13,Max_flipper_height,(DM10+(DN12*t)+(0.5*DN9*t^2))),Max_flipper_height)</f>
        <v>0.38200797062000164</v>
      </c>
      <c r="DO10" s="1">
        <f>MIN(IF((stroke-0.005)&lt;DN13,Max_flipper_height,(DN10+(DO12*t)+(0.5*DO9*t^2))),Max_flipper_height)</f>
        <v>0.38200797062000164</v>
      </c>
      <c r="DP10" s="1">
        <f>MIN(IF((stroke-0.005)&lt;DO13,Max_flipper_height,(DO10+(DP12*t)+(0.5*DP9*t^2))),Max_flipper_height)</f>
        <v>0.38200797062000164</v>
      </c>
      <c r="DQ10" s="1">
        <f>MIN(IF((stroke-0.005)&lt;DP13,Max_flipper_height,(DP10+(DQ12*t)+(0.5*DQ9*t^2))),Max_flipper_height)</f>
        <v>0.38200797062000164</v>
      </c>
      <c r="DR10" s="1">
        <f>MIN(IF((stroke-0.005)&lt;DQ13,Max_flipper_height,(DQ10+(DR12*t)+(0.5*DR9*t^2))),Max_flipper_height)</f>
        <v>0.38200797062000164</v>
      </c>
      <c r="DS10" s="1">
        <f>MIN(IF((stroke-0.005)&lt;DR13,Max_flipper_height,(DR10+(DS12*t)+(0.5*DS9*t^2))),Max_flipper_height)</f>
        <v>0.38200797062000164</v>
      </c>
      <c r="DT10" s="1">
        <f>MIN(IF((stroke-0.005)&lt;DS13,Max_flipper_height,(DS10+(DT12*t)+(0.5*DT9*t^2))),Max_flipper_height)</f>
        <v>0.38200797062000164</v>
      </c>
      <c r="DU10" s="1">
        <f>MIN(IF((stroke-0.005)&lt;DT13,Max_flipper_height,(DT10+(DU12*t)+(0.5*DU9*t^2))),Max_flipper_height)</f>
        <v>0.38200797062000164</v>
      </c>
      <c r="DV10" s="1">
        <f>MIN(IF((stroke-0.005)&lt;DU13,Max_flipper_height,(DU10+(DV12*t)+(0.5*DV9*t^2))),Max_flipper_height)</f>
        <v>0.38200797062000164</v>
      </c>
      <c r="DW10" s="1">
        <f>MIN(IF((stroke-0.005)&lt;DV13,Max_flipper_height,(DV10+(DW12*t)+(0.5*DW9*t^2))),Max_flipper_height)</f>
        <v>0.38200797062000164</v>
      </c>
      <c r="DX10" s="1">
        <f>MIN(IF((stroke-0.005)&lt;DW13,Max_flipper_height,(DW10+(DX12*t)+(0.5*DX9*t^2))),Max_flipper_height)</f>
        <v>0.38200797062000164</v>
      </c>
      <c r="DY10" s="1">
        <f>MIN(IF((stroke-0.005)&lt;DX13,Max_flipper_height,(DX10+(DY12*t)+(0.5*DY9*t^2))),Max_flipper_height)</f>
        <v>0.38200797062000164</v>
      </c>
      <c r="DZ10" s="1">
        <f>MIN(IF((stroke-0.005)&lt;DY13,Max_flipper_height,(DY10+(DZ12*t)+(0.5*DZ9*t^2))),Max_flipper_height)</f>
        <v>0.38200797062000164</v>
      </c>
      <c r="EA10" s="1">
        <f>MIN(IF((stroke-0.005)&lt;DZ13,Max_flipper_height,(DZ10+(EA12*t)+(0.5*EA9*t^2))),Max_flipper_height)</f>
        <v>0.38200797062000164</v>
      </c>
      <c r="EB10" s="1">
        <f>MIN(IF((stroke-0.005)&lt;EA13,Max_flipper_height,(EA10+(EB12*t)+(0.5*EB9*t^2))),Max_flipper_height)</f>
        <v>0.38200797062000164</v>
      </c>
      <c r="EC10" s="1">
        <f>MIN(IF((stroke-0.005)&lt;EB13,Max_flipper_height,(EB10+(EC12*t)+(0.5*EC9*t^2))),Max_flipper_height)</f>
        <v>0.38200797062000164</v>
      </c>
      <c r="ED10" s="1">
        <f>MIN(IF((stroke-0.005)&lt;EC13,Max_flipper_height,(EC10+(ED12*t)+(0.5*ED9*t^2))),Max_flipper_height)</f>
        <v>0.38200797062000164</v>
      </c>
      <c r="EE10" s="1">
        <f>MIN(IF((stroke-0.005)&lt;ED13,Max_flipper_height,(ED10+(EE12*t)+(0.5*EE9*t^2))),Max_flipper_height)</f>
        <v>0.38200797062000164</v>
      </c>
      <c r="EF10" s="1">
        <f>MIN(IF((stroke-0.005)&lt;EE13,Max_flipper_height,(EE10+(EF12*t)+(0.5*EF9*t^2))),Max_flipper_height)</f>
        <v>0.38200797062000164</v>
      </c>
      <c r="EG10" s="1">
        <f>MIN(IF((stroke-0.005)&lt;EF13,Max_flipper_height,(EF10+(EG12*t)+(0.5*EG9*t^2))),Max_flipper_height)</f>
        <v>0.38200797062000164</v>
      </c>
    </row>
    <row r="11" spans="1:137" ht="12.75">
      <c r="A11" t="s">
        <v>20</v>
      </c>
      <c r="B11" s="1">
        <v>0</v>
      </c>
      <c r="C11" s="1">
        <f>MAX(0,IF((stroke-0.005)&gt;(B13),C10,IF(mass_to_throw=0,C10,B11+(C12*t)-(0.5*9.81*(t^2)))))</f>
        <v>0.0032105709392348356</v>
      </c>
      <c r="D11" s="1">
        <f>MAX(0,IF((stroke-0.005)&gt;(C13),D10,IF(mass_to_throw=0,D10,C11+(D12*t)-(0.5*9.81*(t^2)))))</f>
        <v>0.007894315403894417</v>
      </c>
      <c r="E11" s="1">
        <f>MAX(0,IF((stroke-0.005)&gt;(D13),E10,IF(mass_to_throw=0,E10,D11+(E12*t)-(0.5*9.81*(t^2)))))</f>
        <v>0.013671351274613512</v>
      </c>
      <c r="F11" s="1">
        <f>MAX(0,IF((stroke-0.005)&gt;(E13),F10,IF(mass_to_throw=0,F10,E11+(F12*t)-(0.5*9.81*(t^2)))))</f>
        <v>0.020369694559613384</v>
      </c>
      <c r="G11" s="1">
        <f>MAX(0,IF((stroke-0.005)&gt;(F13),G10,IF(mass_to_throw=0,G10,F11+(G12*t)-(0.5*9.81*(t^2)))))</f>
        <v>0.02786094189339854</v>
      </c>
      <c r="H11" s="1">
        <f>MAX(0,IF((stroke-0.005)&gt;(G13),H10,IF(mass_to_throw=0,H10,G11+(H12*t)-(0.5*9.81*(t^2)))))</f>
        <v>0.036046764965916966</v>
      </c>
      <c r="I11" s="1">
        <f>MAX(0,IF((stroke-0.005)&gt;(H13),I10,IF(mass_to_throw=0,I10,H11+(I12*t)-(0.5*9.81*(t^2)))))</f>
        <v>0.04484984494679215</v>
      </c>
      <c r="J11" s="1">
        <f>MAX(0,IF((stroke-0.005)&gt;(I13),J10,IF(mass_to_throw=0,J10,I11+(J12*t)-(0.5*9.81*(t^2)))))</f>
        <v>0.054207917817446785</v>
      </c>
      <c r="K11" s="1">
        <f>MAX(0,IF((stroke-0.005)&gt;(J13),K10,IF(mass_to_throw=0,K10,J11+(K12*t)-(0.5*9.81*(t^2)))))</f>
        <v>0.06406980111077466</v>
      </c>
      <c r="L11" s="1">
        <f>MAX(0,IF((stroke-0.005)&gt;(K13),L10,IF(mass_to_throw=0,L10,K11+(L12*t)-(0.5*9.81*(t^2)))))</f>
        <v>0.07439267223789583</v>
      </c>
      <c r="M11" s="1">
        <f>MAX(0,IF((stroke-0.005)&gt;(L13),M10,IF(mass_to_throw=0,M10,L11+(M12*t)-(0.5*9.81*(t^2)))))</f>
        <v>0.08514015223481448</v>
      </c>
      <c r="N11" s="1">
        <f>MAX(0,IF((stroke-0.005)&gt;(M13),N10,IF(mass_to_throw=0,N10,M11+(N12*t)-(0.5*9.81*(t^2)))))</f>
        <v>0.09628092139460574</v>
      </c>
      <c r="O11" s="1">
        <f>MAX(0,IF((stroke-0.005)&gt;(N13),O10,IF(mass_to_throw=0,O10,N11+(O12*t)-(0.5*9.81*(t^2)))))</f>
        <v>0.1077876956267877</v>
      </c>
      <c r="P11" s="1">
        <f>MAX(0,IF((stroke-0.005)&gt;(O13),P10,IF(mass_to_throw=0,P10,O11+(P12*t)-(0.5*9.81*(t^2)))))</f>
        <v>0.11963645370394273</v>
      </c>
      <c r="Q11" s="1">
        <f>MAX(0,IF((stroke-0.005)&gt;(P13),Q10,IF(mass_to_throw=0,Q10,P11+(Q12*t)-(0.5*9.81*(t^2)))))</f>
        <v>0.13180584307639648</v>
      </c>
      <c r="R11" s="1">
        <f>MAX(0,IF((stroke-0.005)&gt;(Q13),R10,IF(mass_to_throw=0,R10,Q11+(R12*t)-(0.5*9.81*(t^2)))))</f>
        <v>0.1442767154658351</v>
      </c>
      <c r="S11" s="1">
        <f>MAX(0,IF((stroke-0.005)&gt;(R13),S10,IF(mass_to_throw=0,S10,R11+(S12*t)-(0.5*9.81*(t^2)))))</f>
        <v>0.15703175857286888</v>
      </c>
      <c r="T11" s="1">
        <f>MAX(0,IF((stroke-0.005)&gt;(S13),T10,IF(mass_to_throw=0,T10,S11+(T12*t)-(0.5*9.81*(t^2)))))</f>
        <v>0.17005520018549872</v>
      </c>
      <c r="U11" s="1">
        <f>MAX(0,IF((stroke-0.005)&gt;(T13),U10,IF(mass_to_throw=0,U10,T11+(U12*t)-(0.5*9.81*(t^2)))))</f>
        <v>0.1833325676688044</v>
      </c>
      <c r="V11" s="1">
        <f>MAX(0,IF((stroke-0.005)&gt;(U13),V10,IF(mass_to_throw=0,V10,U11+(V12*t)-(0.5*9.81*(t^2)))))</f>
        <v>0.19685049040970026</v>
      </c>
      <c r="W11" s="1">
        <f>MAX(0,IF((stroke-0.005)&gt;(V13),W10,IF(mass_to_throw=0,W10,V11+(W12*t)-(0.5*9.81*(t^2)))))</f>
        <v>0.21059653600206638</v>
      </c>
      <c r="X11" s="1">
        <f>MAX(0,IF((stroke-0.005)&gt;(W13),X10,IF(mass_to_throw=0,X10,W11+(X12*t)-(0.5*9.81*(t^2)))))</f>
        <v>0.22455907324134086</v>
      </c>
      <c r="Y11" s="1">
        <f>MAX(0,IF((stroke-0.005)&gt;(X13),Y10,IF(mass_to_throw=0,Y10,X11+(Y12*t)-(0.5*9.81*(t^2)))))</f>
        <v>0.23872715664731445</v>
      </c>
      <c r="Z11" s="1">
        <f>MAX(0,IF((stroke-0.005)&gt;(Y13),Z10,IF(mass_to_throw=0,Z10,Y11+(Z12*t)-(0.5*9.81*(t^2)))))</f>
        <v>0.2530904284427284</v>
      </c>
      <c r="AA11" s="1">
        <f>MAX(0,IF((stroke-0.005)&gt;(Z13),AA10,IF(mass_to_throw=0,AA10,Z11+(AA12*t)-(0.5*9.81*(t^2)))))</f>
        <v>0.2676390348129316</v>
      </c>
      <c r="AB11" s="1">
        <f>MAX(0,IF((stroke-0.005)&gt;(AA13),AB10,IF(mass_to_throw=0,AB10,AA11+(AB12*t)-(0.5*9.81*(t^2)))))</f>
        <v>0.2823635539466132</v>
      </c>
      <c r="AC11" s="1">
        <f>MAX(0,IF((stroke-0.005)&gt;(AB13),AC10,IF(mass_to_throw=0,AC10,AB11+(AC12*t)-(0.5*9.81*(t^2)))))</f>
        <v>0.2972549338706092</v>
      </c>
      <c r="AD11" s="1">
        <f>MAX(0,IF((stroke-0.005)&gt;(AC13),AD10,IF(mass_to_throw=0,AD10,AC11+(AD12*t)-(0.5*9.81*(t^2)))))</f>
        <v>0.3123044384858797</v>
      </c>
      <c r="AE11" s="1">
        <f>MAX(0,IF((stroke-0.005)&gt;(AD13),AE10,IF(mass_to_throw=0,AE10,AD11+(AE12*t)-(0.5*9.81*(t^2)))))</f>
        <v>0.3275036005174831</v>
      </c>
      <c r="AF11" s="1">
        <f>MAX(0,IF((stroke-0.005)&gt;(AE13),AF10,IF(mass_to_throw=0,AF10,AE11+(AF12*t)-(0.5*9.81*(t^2)))))</f>
        <v>0.3428441803307105</v>
      </c>
      <c r="AG11" s="1">
        <f>MAX(0,IF((stroke-0.005)&gt;(AF13),AG10,IF(mass_to_throw=0,AG10,AF11+(AG12*t)-(0.5*9.81*(t^2)))))</f>
        <v>0.35831812975449445</v>
      </c>
      <c r="AH11" s="1">
        <f>MAX(0,IF((stroke-0.005)&gt;(AG13),AH10,IF(mass_to_throw=0,AH10,AG11+(AH12*t)-(0.5*9.81*(t^2)))))</f>
        <v>0.3739175602035673</v>
      </c>
      <c r="AI11" s="1">
        <f>MAX(0,IF((stroke-0.005)&gt;(AH13),AI10,IF(mass_to_throw=0,AI10,AH11+(AI12*t)-(0.5*9.81*(t^2)))))</f>
        <v>0.3887982559063283</v>
      </c>
      <c r="AJ11" s="1">
        <f>MAX(0,IF((stroke-0.005)&gt;(AI13),AJ10,IF(mass_to_throw=0,AJ10,AI11+(AJ12*t)-(0.5*9.81*(t^2)))))</f>
        <v>0.40324295160908935</v>
      </c>
      <c r="AK11" s="1">
        <f>MAX(0,IF((stroke-0.005)&gt;(AJ13),AK10,IF(mass_to_throw=0,AK10,AJ11+(AK12*t)-(0.5*9.81*(t^2)))))</f>
        <v>0.4172516473118504</v>
      </c>
      <c r="AL11" s="1">
        <f>MAX(0,IF((stroke-0.005)&gt;(AK13),AL10,IF(mass_to_throw=0,AL10,AK11+(AL12*t)-(0.5*9.81*(t^2)))))</f>
        <v>0.4308243430146114</v>
      </c>
      <c r="AM11" s="1">
        <f>MAX(0,IF((stroke-0.005)&gt;(AL13),AM10,IF(mass_to_throw=0,AM10,AL11+(AM12*t)-(0.5*9.81*(t^2)))))</f>
        <v>0.44396103871737247</v>
      </c>
      <c r="AN11" s="1">
        <f>MAX(0,IF((stroke-0.005)&gt;(AM13),AN10,IF(mass_to_throw=0,AN10,AM11+(AN12*t)-(0.5*9.81*(t^2)))))</f>
        <v>0.4566617344201335</v>
      </c>
      <c r="AO11" s="1">
        <f>MAX(0,IF((stroke-0.005)&gt;(AN13),AO10,IF(mass_to_throw=0,AO10,AN11+(AO12*t)-(0.5*9.81*(t^2)))))</f>
        <v>0.4689264301228946</v>
      </c>
      <c r="AP11" s="1">
        <f>MAX(0,IF((stroke-0.005)&gt;(AO13),AP10,IF(mass_to_throw=0,AP10,AO11+(AP12*t)-(0.5*9.81*(t^2)))))</f>
        <v>0.48075512582565566</v>
      </c>
      <c r="AQ11" s="1">
        <f>MAX(0,IF((stroke-0.005)&gt;(AP13),AQ10,IF(mass_to_throw=0,AQ10,AP11+(AQ12*t)-(0.5*9.81*(t^2)))))</f>
        <v>0.4921478215284167</v>
      </c>
      <c r="AR11" s="1">
        <f>MAX(0,IF((stroke-0.005)&gt;(AQ13),AR10,IF(mass_to_throw=0,AR10,AQ11+(AR12*t)-(0.5*9.81*(t^2)))))</f>
        <v>0.5031045172311777</v>
      </c>
      <c r="AS11" s="1">
        <f>MAX(0,IF((stroke-0.005)&gt;(AR13),AS10,IF(mass_to_throw=0,AS10,AR11+(AS12*t)-(0.5*9.81*(t^2)))))</f>
        <v>0.5136252129339387</v>
      </c>
      <c r="AT11" s="1">
        <f>MAX(0,IF((stroke-0.005)&gt;(AS13),AT10,IF(mass_to_throw=0,AT10,AS11+(AT12*t)-(0.5*9.81*(t^2)))))</f>
        <v>0.5237099086366996</v>
      </c>
      <c r="AU11" s="1">
        <f>MAX(0,IF((stroke-0.005)&gt;(AT13),AU10,IF(mass_to_throw=0,AU10,AT11+(AU12*t)-(0.5*9.81*(t^2)))))</f>
        <v>0.5333586043394606</v>
      </c>
      <c r="AV11" s="1">
        <f>MAX(0,IF((stroke-0.005)&gt;(AU13),AV10,IF(mass_to_throw=0,AV10,AU11+(AV12*t)-(0.5*9.81*(t^2)))))</f>
        <v>0.5425713000422215</v>
      </c>
      <c r="AW11" s="1">
        <f>MAX(0,IF((stroke-0.005)&gt;(AV13),AW10,IF(mass_to_throw=0,AW10,AV11+(AW12*t)-(0.5*9.81*(t^2)))))</f>
        <v>0.5513479957449825</v>
      </c>
      <c r="AX11" s="1">
        <f>MAX(0,IF((stroke-0.005)&gt;(AW13),AX10,IF(mass_to_throw=0,AX10,AW11+(AX12*t)-(0.5*9.81*(t^2)))))</f>
        <v>0.5596886914477435</v>
      </c>
      <c r="AY11" s="1">
        <f>MAX(0,IF((stroke-0.005)&gt;(AX13),AY10,IF(mass_to_throw=0,AY10,AX11+(AY12*t)-(0.5*9.81*(t^2)))))</f>
        <v>0.5675933871505044</v>
      </c>
      <c r="AZ11" s="1">
        <f>MAX(0,IF((stroke-0.005)&gt;(AY13),AZ10,IF(mass_to_throw=0,AZ10,AY11+(AZ12*t)-(0.5*9.81*(t^2)))))</f>
        <v>0.5750620828532654</v>
      </c>
      <c r="BA11" s="1">
        <f>MAX(0,IF((stroke-0.005)&gt;(AZ13),BA10,IF(mass_to_throw=0,BA10,AZ11+(BA12*t)-(0.5*9.81*(t^2)))))</f>
        <v>0.5820947785560264</v>
      </c>
      <c r="BB11" s="1">
        <f>MAX(0,IF((stroke-0.005)&gt;(BA13),BB10,IF(mass_to_throw=0,BB10,BA11+(BB12*t)-(0.5*9.81*(t^2)))))</f>
        <v>0.5886914742587874</v>
      </c>
      <c r="BC11" s="1">
        <f>MAX(0,IF((stroke-0.005)&gt;(BB13),BC10,IF(mass_to_throw=0,BC10,BB11+(BC12*t)-(0.5*9.81*(t^2)))))</f>
        <v>0.5948521699615484</v>
      </c>
      <c r="BD11" s="1">
        <f>MAX(0,IF((stroke-0.005)&gt;(BC13),BD10,IF(mass_to_throw=0,BD10,BC11+(BD12*t)-(0.5*9.81*(t^2)))))</f>
        <v>0.6005768656643095</v>
      </c>
      <c r="BE11" s="1">
        <f>MAX(0,IF((stroke-0.005)&gt;(BD13),BE10,IF(mass_to_throw=0,BE10,BD11+(BE12*t)-(0.5*9.81*(t^2)))))</f>
        <v>0.6058655613670705</v>
      </c>
      <c r="BF11" s="1">
        <f>MAX(0,IF((stroke-0.005)&gt;(BE13),BF10,IF(mass_to_throw=0,BF10,BE11+(BF12*t)-(0.5*9.81*(t^2)))))</f>
        <v>0.6107182570698315</v>
      </c>
      <c r="BG11" s="1">
        <f>MAX(0,IF((stroke-0.005)&gt;(BF13),BG10,IF(mass_to_throw=0,BG10,BF11+(BG12*t)-(0.5*9.81*(t^2)))))</f>
        <v>0.6151349527725926</v>
      </c>
      <c r="BH11" s="1">
        <f>MAX(0,IF((stroke-0.005)&gt;(BG13),BH10,IF(mass_to_throw=0,BH10,BG11+(BH12*t)-(0.5*9.81*(t^2)))))</f>
        <v>0.6191156484753536</v>
      </c>
      <c r="BI11" s="1">
        <f>MAX(0,IF((stroke-0.005)&gt;(BH13),BI10,IF(mass_to_throw=0,BI10,BH11+(BI12*t)-(0.5*9.81*(t^2)))))</f>
        <v>0.6226603441781146</v>
      </c>
      <c r="BJ11" s="1">
        <f>MAX(0,IF((stroke-0.005)&gt;(BI13),BJ10,IF(mass_to_throw=0,BJ10,BI11+(BJ12*t)-(0.5*9.81*(t^2)))))</f>
        <v>0.6257690398808755</v>
      </c>
      <c r="BK11" s="1">
        <f>MAX(0,IF((stroke-0.005)&gt;(BJ13),BK10,IF(mass_to_throw=0,BK10,BJ11+(BK12*t)-(0.5*9.81*(t^2)))))</f>
        <v>0.6284417355836365</v>
      </c>
      <c r="BL11" s="1">
        <f>MAX(0,IF((stroke-0.005)&gt;(BK13),BL10,IF(mass_to_throw=0,BL10,BK11+(BL12*t)-(0.5*9.81*(t^2)))))</f>
        <v>0.6306784312863974</v>
      </c>
      <c r="BM11" s="1">
        <f>MAX(0,IF((stroke-0.005)&gt;(BL13),BM10,IF(mass_to_throw=0,BM10,BL11+(BM12*t)-(0.5*9.81*(t^2)))))</f>
        <v>0.6324791269891584</v>
      </c>
      <c r="BN11" s="1">
        <f>MAX(0,IF((stroke-0.005)&gt;(BM13),BN10,IF(mass_to_throw=0,BN10,BM11+(BN12*t)-(0.5*9.81*(t^2)))))</f>
        <v>0.6338438226919194</v>
      </c>
      <c r="BO11" s="1">
        <f>MAX(0,IF((stroke-0.005)&gt;(BN13),BO10,IF(mass_to_throw=0,BO10,BN11+(BO12*t)-(0.5*9.81*(t^2)))))</f>
        <v>0.6347725183946804</v>
      </c>
      <c r="BP11" s="1">
        <f>MAX(0,IF((stroke-0.005)&gt;(BO13),BP10,IF(mass_to_throw=0,BP10,BO11+(BP12*t)-(0.5*9.81*(t^2)))))</f>
        <v>0.6352652140974414</v>
      </c>
      <c r="BQ11" s="1">
        <f>MAX(0,IF((stroke-0.005)&gt;(BP13),BQ10,IF(mass_to_throw=0,BQ10,BP11+(BQ12*t)-(0.5*9.81*(t^2)))))</f>
        <v>0.6353219098002024</v>
      </c>
      <c r="BR11" s="1">
        <f>MAX(0,IF((stroke-0.005)&gt;(BQ13),BR10,IF(mass_to_throw=0,BR10,BQ11+(BR12*t)-(0.5*9.81*(t^2)))))</f>
        <v>0.6349426055029634</v>
      </c>
      <c r="BS11" s="1">
        <f>MAX(0,IF((stroke-0.005)&gt;(BR13),BS10,IF(mass_to_throw=0,BS10,BR11+(BS12*t)-(0.5*9.81*(t^2)))))</f>
        <v>0.6341273012057245</v>
      </c>
      <c r="BT11" s="1">
        <f>MAX(0,IF((stroke-0.005)&gt;(BS13),BT10,IF(mass_to_throw=0,BT10,BS11+(BT12*t)-(0.5*9.81*(t^2)))))</f>
        <v>0.6328759969084855</v>
      </c>
      <c r="BU11" s="1">
        <f>MAX(0,IF((stroke-0.005)&gt;(BT13),BU10,IF(mass_to_throw=0,BU10,BT11+(BU12*t)-(0.5*9.81*(t^2)))))</f>
        <v>0.6311886926112465</v>
      </c>
      <c r="BV11" s="1">
        <f>MAX(0,IF((stroke-0.005)&gt;(BU13),BV10,IF(mass_to_throw=0,BV10,BU11+(BV12*t)-(0.5*9.81*(t^2)))))</f>
        <v>0.6290653883140075</v>
      </c>
      <c r="BW11" s="1">
        <f>MAX(0,IF((stroke-0.005)&gt;(BV13),BW10,IF(mass_to_throw=0,BW10,BV11+(BW12*t)-(0.5*9.81*(t^2)))))</f>
        <v>0.6265060840167684</v>
      </c>
      <c r="BX11" s="1">
        <f>MAX(0,IF((stroke-0.005)&gt;(BW13),BX10,IF(mass_to_throw=0,BX10,BW11+(BX12*t)-(0.5*9.81*(t^2)))))</f>
        <v>0.6235107797195294</v>
      </c>
      <c r="BY11" s="1">
        <f>MAX(0,IF((stroke-0.005)&gt;(BX13),BY10,IF(mass_to_throw=0,BY10,BX11+(BY12*t)-(0.5*9.81*(t^2)))))</f>
        <v>0.6200794754222904</v>
      </c>
      <c r="BZ11" s="1">
        <f>MAX(0,IF((stroke-0.005)&gt;(BY13),BZ10,IF(mass_to_throw=0,BZ10,BY11+(BZ12*t)-(0.5*9.81*(t^2)))))</f>
        <v>0.6162121711250513</v>
      </c>
      <c r="CA11" s="1">
        <f>MAX(0,IF((stroke-0.005)&gt;(BZ13),CA10,IF(mass_to_throw=0,CA10,BZ11+(CA12*t)-(0.5*9.81*(t^2)))))</f>
        <v>0.6119088668278123</v>
      </c>
      <c r="CB11" s="1">
        <f>MAX(0,IF((stroke-0.005)&gt;(CA13),CB10,IF(mass_to_throw=0,CB10,CA11+(CB12*t)-(0.5*9.81*(t^2)))))</f>
        <v>0.6071695625305733</v>
      </c>
      <c r="CC11" s="1">
        <f>MAX(0,IF((stroke-0.005)&gt;(CB13),CC10,IF(mass_to_throw=0,CC10,CB11+(CC12*t)-(0.5*9.81*(t^2)))))</f>
        <v>0.6019942582333343</v>
      </c>
      <c r="CD11" s="1">
        <f>MAX(0,IF((stroke-0.005)&gt;(CC13),CD10,IF(mass_to_throw=0,CD10,CC11+(CD12*t)-(0.5*9.81*(t^2)))))</f>
        <v>0.5963829539360953</v>
      </c>
      <c r="CE11" s="1">
        <f>MAX(0,IF((stroke-0.005)&gt;(CD13),CE10,IF(mass_to_throw=0,CE10,CD11+(CE12*t)-(0.5*9.81*(t^2)))))</f>
        <v>0.5903356496388563</v>
      </c>
      <c r="CF11" s="1">
        <f>MAX(0,IF((stroke-0.005)&gt;(CE13),CF10,IF(mass_to_throw=0,CF10,CE11+(CF12*t)-(0.5*9.81*(t^2)))))</f>
        <v>0.5838523453416173</v>
      </c>
      <c r="CG11" s="1">
        <f>MAX(0,IF((stroke-0.005)&gt;(CF13),CG10,IF(mass_to_throw=0,CG10,CF11+(CG12*t)-(0.5*9.81*(t^2)))))</f>
        <v>0.5769330410443784</v>
      </c>
      <c r="CH11" s="1">
        <f>MAX(0,IF((stroke-0.005)&gt;(CG13),CH10,IF(mass_to_throw=0,CH10,CG11+(CH12*t)-(0.5*9.81*(t^2)))))</f>
        <v>0.5695777367471394</v>
      </c>
      <c r="CI11" s="1">
        <f>MAX(0,IF((stroke-0.005)&gt;(CH13),CI10,IF(mass_to_throw=0,CI10,CH11+(CI12*t)-(0.5*9.81*(t^2)))))</f>
        <v>0.5617864324499005</v>
      </c>
      <c r="CJ11" s="1">
        <f>MAX(0,IF((stroke-0.005)&gt;(CI13),CJ10,IF(mass_to_throw=0,CJ10,CI11+(CJ12*t)-(0.5*9.81*(t^2)))))</f>
        <v>0.5535591281526614</v>
      </c>
      <c r="CK11" s="1">
        <f>MAX(0,IF((stroke-0.005)&gt;(CJ13),CK10,IF(mass_to_throw=0,CK10,CJ11+(CK12*t)-(0.5*9.81*(t^2)))))</f>
        <v>0.5448958238554223</v>
      </c>
      <c r="CL11" s="1">
        <f>MAX(0,IF((stroke-0.005)&gt;(CK13),CL10,IF(mass_to_throw=0,CL10,CK11+(CL12*t)-(0.5*9.81*(t^2)))))</f>
        <v>0.5357965195581833</v>
      </c>
      <c r="CM11" s="1">
        <f>MAX(0,IF((stroke-0.005)&gt;(CL13),CM10,IF(mass_to_throw=0,CM10,CL11+(CM12*t)-(0.5*9.81*(t^2)))))</f>
        <v>0.5262612152609443</v>
      </c>
      <c r="CN11" s="1">
        <f>MAX(0,IF((stroke-0.005)&gt;(CM13),CN10,IF(mass_to_throw=0,CN10,CM11+(CN12*t)-(0.5*9.81*(t^2)))))</f>
        <v>0.5162899109637052</v>
      </c>
      <c r="CO11" s="1">
        <f>MAX(0,IF((stroke-0.005)&gt;(CN13),CO10,IF(mass_to_throw=0,CO10,CN11+(CO12*t)-(0.5*9.81*(t^2)))))</f>
        <v>0.5058826066664662</v>
      </c>
      <c r="CP11" s="1">
        <f>MAX(0,IF((stroke-0.005)&gt;(CO13),CP10,IF(mass_to_throw=0,CP10,CO11+(CP12*t)-(0.5*9.81*(t^2)))))</f>
        <v>0.4950393023692273</v>
      </c>
      <c r="CQ11" s="1">
        <f>MAX(0,IF((stroke-0.005)&gt;(CP13),CQ10,IF(mass_to_throw=0,CQ10,CP11+(CQ12*t)-(0.5*9.81*(t^2)))))</f>
        <v>0.48375999807198833</v>
      </c>
      <c r="CR11" s="1">
        <f>MAX(0,IF((stroke-0.005)&gt;(CQ13),CR10,IF(mass_to_throw=0,CR10,CQ11+(CR12*t)-(0.5*9.81*(t^2)))))</f>
        <v>0.4720446937747494</v>
      </c>
      <c r="CS11" s="1">
        <f>MAX(0,IF((stroke-0.005)&gt;(CR13),CS10,IF(mass_to_throw=0,CS10,CR11+(CS12*t)-(0.5*9.81*(t^2)))))</f>
        <v>0.45989338947751046</v>
      </c>
      <c r="CT11" s="1">
        <f>MAX(0,IF((stroke-0.005)&gt;(CS13),CT10,IF(mass_to_throw=0,CT10,CS11+(CT12*t)-(0.5*9.81*(t^2)))))</f>
        <v>0.44730608518027154</v>
      </c>
      <c r="CU11" s="1">
        <f>MAX(0,IF((stroke-0.005)&gt;(CT13),CU10,IF(mass_to_throw=0,CU10,CT11+(CU12*t)-(0.5*9.81*(t^2)))))</f>
        <v>0.43428278088303257</v>
      </c>
      <c r="CV11" s="1">
        <f>MAX(0,IF((stroke-0.005)&gt;(CU13),CV10,IF(mass_to_throw=0,CV10,CU11+(CV12*t)-(0.5*9.81*(t^2)))))</f>
        <v>0.4208234765857936</v>
      </c>
      <c r="CW11" s="1">
        <f>MAX(0,IF((stroke-0.005)&gt;(CV13),CW10,IF(mass_to_throw=0,CW10,CV11+(CW12*t)-(0.5*9.81*(t^2)))))</f>
        <v>0.40692817228855466</v>
      </c>
      <c r="CX11" s="1">
        <f>MAX(0,IF((stroke-0.005)&gt;(CW13),CX10,IF(mass_to_throw=0,CX10,CW11+(CX12*t)-(0.5*9.81*(t^2)))))</f>
        <v>0.3925968679913157</v>
      </c>
      <c r="CY11" s="1">
        <f>MAX(0,IF((stroke-0.005)&gt;(CX13),CY10,IF(mass_to_throw=0,CY10,CX11+(CY12*t)-(0.5*9.81*(t^2)))))</f>
        <v>0.3778295636940768</v>
      </c>
      <c r="CZ11" s="1">
        <f>MAX(0,IF((stroke-0.005)&gt;(CY13),CZ10,IF(mass_to_throw=0,CZ10,CY11+(CZ12*t)-(0.5*9.81*(t^2)))))</f>
        <v>0.36262625939683785</v>
      </c>
      <c r="DA11" s="1">
        <f>MAX(0,IF((stroke-0.005)&gt;(CZ13),DA10,IF(mass_to_throw=0,DA10,CZ11+(DA12*t)-(0.5*9.81*(t^2)))))</f>
        <v>0.3469869550995989</v>
      </c>
      <c r="DB11" s="1">
        <f>MAX(0,IF((stroke-0.005)&gt;(DA13),DB10,IF(mass_to_throw=0,DB10,DA11+(DB12*t)-(0.5*9.81*(t^2)))))</f>
        <v>0.33091165080236</v>
      </c>
      <c r="DC11" s="1">
        <f>MAX(0,IF((stroke-0.005)&gt;(DB13),DC10,IF(mass_to_throw=0,DC10,DB11+(DC12*t)-(0.5*9.81*(t^2)))))</f>
        <v>0.31440034650512105</v>
      </c>
      <c r="DD11" s="1">
        <f>MAX(0,IF((stroke-0.005)&gt;(DC13),DD10,IF(mass_to_throw=0,DD10,DC11+(DD12*t)-(0.5*9.81*(t^2)))))</f>
        <v>0.2974530422078821</v>
      </c>
      <c r="DE11" s="1">
        <f>MAX(0,IF((stroke-0.005)&gt;(DD13),DE10,IF(mass_to_throw=0,DE10,DD11+(DE12*t)-(0.5*9.81*(t^2)))))</f>
        <v>0.28006973791064316</v>
      </c>
      <c r="DF11" s="1">
        <f>MAX(0,IF((stroke-0.005)&gt;(DE13),DF10,IF(mass_to_throw=0,DF10,DE11+(DF12*t)-(0.5*9.81*(t^2)))))</f>
        <v>0.2622504336134042</v>
      </c>
      <c r="DG11" s="1">
        <f>MAX(0,IF((stroke-0.005)&gt;(DF13),DG10,IF(mass_to_throw=0,DG10,DF11+(DG12*t)-(0.5*9.81*(t^2)))))</f>
        <v>0.2439951293161653</v>
      </c>
      <c r="DH11" s="1">
        <f>MAX(0,IF((stroke-0.005)&gt;(DG13),DH10,IF(mass_to_throw=0,DH10,DG11+(DH12*t)-(0.5*9.81*(t^2)))))</f>
        <v>0.22530382501892635</v>
      </c>
      <c r="DI11" s="1">
        <f>MAX(0,IF((stroke-0.005)&gt;(DH13),DI10,IF(mass_to_throw=0,DI10,DH11+(DI12*t)-(0.5*9.81*(t^2)))))</f>
        <v>0.2061765207216874</v>
      </c>
      <c r="DJ11" s="1">
        <f>MAX(0,IF((stroke-0.005)&gt;(DI13),DJ10,IF(mass_to_throw=0,DJ10,DI11+(DJ12*t)-(0.5*9.81*(t^2)))))</f>
        <v>0.18661321642444847</v>
      </c>
      <c r="DK11" s="1">
        <f>MAX(0,IF((stroke-0.005)&gt;(DJ13),DK10,IF(mass_to_throw=0,DK10,DJ11+(DK12*t)-(0.5*9.81*(t^2)))))</f>
        <v>0.16661391212720955</v>
      </c>
      <c r="DL11" s="1">
        <f>MAX(0,IF((stroke-0.005)&gt;(DK13),DL10,IF(mass_to_throw=0,DL10,DK11+(DL12*t)-(0.5*9.81*(t^2)))))</f>
        <v>0.1461786078299706</v>
      </c>
      <c r="DM11" s="1">
        <f>MAX(0,IF((stroke-0.005)&gt;(DL13),DM10,IF(mass_to_throw=0,DM10,DL11+(DM12*t)-(0.5*9.81*(t^2)))))</f>
        <v>0.12530730353273167</v>
      </c>
      <c r="DN11" s="1">
        <f>MAX(0,IF((stroke-0.005)&gt;(DM13),DN10,IF(mass_to_throw=0,DN10,DM11+(DN12*t)-(0.5*9.81*(t^2)))))</f>
        <v>0.10399999923549275</v>
      </c>
      <c r="DO11" s="1">
        <f>MAX(0,IF((stroke-0.005)&gt;(DN13),DO10,IF(mass_to_throw=0,DO10,DN11+(DO12*t)-(0.5*9.81*(t^2)))))</f>
        <v>0.08225669493825381</v>
      </c>
      <c r="DP11" s="1">
        <f>MAX(0,IF((stroke-0.005)&gt;(DO13),DP10,IF(mass_to_throw=0,DP10,DO11+(DP12*t)-(0.5*9.81*(t^2)))))</f>
        <v>0.060077390641014874</v>
      </c>
      <c r="DQ11" s="1">
        <f>MAX(0,IF((stroke-0.005)&gt;(DP13),DQ10,IF(mass_to_throw=0,DQ10,DP11+(DQ12*t)-(0.5*9.81*(t^2)))))</f>
        <v>0.03746208634377594</v>
      </c>
      <c r="DR11" s="1">
        <f>MAX(0,IF((stroke-0.005)&gt;(DQ13),DR10,IF(mass_to_throw=0,DR10,DQ11+(DR12*t)-(0.5*9.81*(t^2)))))</f>
        <v>0.014410782046537004</v>
      </c>
      <c r="DS11" s="1">
        <f>MAX(0,IF((stroke-0.005)&gt;(DR13),DS10,IF(mass_to_throw=0,DS10,DR11+(DS12*t)-(0.5*9.81*(t^2)))))</f>
        <v>0</v>
      </c>
      <c r="DT11" s="1">
        <f>MAX(0,IF((stroke-0.005)&gt;(DS13),DT10,IF(mass_to_throw=0,DT10,DS11+(DT12*t)-(0.5*9.81*(t^2)))))</f>
        <v>0</v>
      </c>
      <c r="DU11" s="1">
        <f>MAX(0,IF((stroke-0.005)&gt;(DT13),DU10,IF(mass_to_throw=0,DU10,DT11+(DU12*t)-(0.5*9.81*(t^2)))))</f>
        <v>0</v>
      </c>
      <c r="DV11" s="1">
        <f>MAX(0,IF((stroke-0.005)&gt;(DU13),DV10,IF(mass_to_throw=0,DV10,DU11+(DV12*t)-(0.5*9.81*(t^2)))))</f>
        <v>0</v>
      </c>
      <c r="DW11" s="1">
        <f>MAX(0,IF((stroke-0.005)&gt;(DV13),DW10,IF(mass_to_throw=0,DW10,DV11+(DW12*t)-(0.5*9.81*(t^2)))))</f>
        <v>0</v>
      </c>
      <c r="DX11" s="1">
        <f>MAX(0,IF((stroke-0.005)&gt;(DW13),DX10,IF(mass_to_throw=0,DX10,DW11+(DX12*t)-(0.5*9.81*(t^2)))))</f>
        <v>0</v>
      </c>
      <c r="DY11" s="1">
        <f>MAX(0,IF((stroke-0.005)&gt;(DX13),DY10,IF(mass_to_throw=0,DY10,DX11+(DY12*t)-(0.5*9.81*(t^2)))))</f>
        <v>0</v>
      </c>
      <c r="DZ11" s="1">
        <f>MAX(0,IF((stroke-0.005)&gt;(DY13),DZ10,IF(mass_to_throw=0,DZ10,DY11+(DZ12*t)-(0.5*9.81*(t^2)))))</f>
        <v>0</v>
      </c>
      <c r="EA11" s="1">
        <f>MAX(0,IF((stroke-0.005)&gt;(DZ13),EA10,IF(mass_to_throw=0,EA10,DZ11+(EA12*t)-(0.5*9.81*(t^2)))))</f>
        <v>0</v>
      </c>
      <c r="EB11" s="1">
        <f>MAX(0,IF((stroke-0.005)&gt;(EA13),EB10,IF(mass_to_throw=0,EB10,EA11+(EB12*t)-(0.5*9.81*(t^2)))))</f>
        <v>0</v>
      </c>
      <c r="EC11" s="1">
        <f>MAX(0,IF((stroke-0.005)&gt;(EB13),EC10,IF(mass_to_throw=0,EC10,EB11+(EC12*t)-(0.5*9.81*(t^2)))))</f>
        <v>0</v>
      </c>
      <c r="ED11" s="1">
        <f>MAX(0,IF((stroke-0.005)&gt;(EC13),ED10,IF(mass_to_throw=0,ED10,EC11+(ED12*t)-(0.5*9.81*(t^2)))))</f>
        <v>0</v>
      </c>
      <c r="EE11" s="1">
        <f>MAX(0,IF((stroke-0.005)&gt;(ED13),EE10,IF(mass_to_throw=0,EE10,ED11+(EE12*t)-(0.5*9.81*(t^2)))))</f>
        <v>0</v>
      </c>
      <c r="EF11" s="1">
        <f>MAX(0,IF((stroke-0.005)&gt;(EE13),EF10,IF(mass_to_throw=0,EF10,EE11+(EF12*t)-(0.5*9.81*(t^2)))))</f>
        <v>0</v>
      </c>
      <c r="EG11" s="1">
        <f>MAX(0,IF((stroke-0.005)&gt;(EF13),EG10,IF(mass_to_throw=0,EG10,EF11+(EG12*t)-(0.5*9.81*(t^2)))))</f>
        <v>0</v>
      </c>
    </row>
    <row r="12" spans="1:137" ht="12.75">
      <c r="A12" t="s">
        <v>21</v>
      </c>
      <c r="B12" s="1">
        <v>0</v>
      </c>
      <c r="C12" s="1">
        <f>IF((stroke-0.005)&gt;B13,B12+(C9*t),B12-(9.81*t))</f>
        <v>0.3210570939234835</v>
      </c>
      <c r="D12" s="1">
        <f>IF((stroke-0.005)&gt;C13,C12+(D9*t),C12-(9.81*t))</f>
        <v>0.5753934777737859</v>
      </c>
      <c r="E12" s="1">
        <f>IF((stroke-0.005)&gt;D13,D12+(E9*t),D12-(9.81*t))</f>
        <v>0.7695014129965048</v>
      </c>
      <c r="F12" s="1">
        <f>IF((stroke-0.005)&gt;E13,E12+(F9*t),E12-(9.81*t))</f>
        <v>0.926334799498822</v>
      </c>
      <c r="G12" s="1">
        <f>IF((stroke-0.005)&gt;F13,F12+(G9*t),F12-(9.81*t))</f>
        <v>1.0579029998781224</v>
      </c>
      <c r="H12" s="1">
        <f>IF((stroke-0.005)&gt;G13,G12+(H9*t),G12-(9.81*t))</f>
        <v>1.1712166405445505</v>
      </c>
      <c r="I12" s="1">
        <f>IF((stroke-0.005)&gt;H13,H12+(I9*t),H12-(9.81*t))</f>
        <v>1.2707135449357017</v>
      </c>
      <c r="J12" s="1">
        <f>IF((stroke-0.005)&gt;I13,I12+(J9*t),I12-(9.81*t))</f>
        <v>1.3593784687106971</v>
      </c>
      <c r="K12" s="1">
        <f>IF((stroke-0.005)&gt;J13,J12+(K9*t),J12-(9.81*t))</f>
        <v>1.4393144855696876</v>
      </c>
      <c r="L12" s="1">
        <f>IF((stroke-0.005)&gt;K13,K12+(L9*t),K12-(9.81*t))</f>
        <v>1.5120586079020137</v>
      </c>
      <c r="M12" s="1">
        <f>IF((stroke-0.005)&gt;L13,L12+(M9*t),L12-(9.81*t))</f>
        <v>1.5787675356592035</v>
      </c>
      <c r="N12" s="1">
        <f>IF((stroke-0.005)&gt;M13,M12+(N9*t),M12-(9.81*t))</f>
        <v>1.6403327611988614</v>
      </c>
      <c r="O12" s="1">
        <f>IF((stroke-0.005)&gt;N13,N12+(O9*t),N12-(9.81*t))</f>
        <v>1.6974550102844825</v>
      </c>
      <c r="P12" s="1">
        <f>IF((stroke-0.005)&gt;O13,O12+(P9*t),O12-(9.81*t))</f>
        <v>1.7506941444769972</v>
      </c>
      <c r="Q12" s="1">
        <f>IF((stroke-0.005)&gt;P13,P12+(Q9*t),P12-(9.81*t))</f>
        <v>1.8005036520710413</v>
      </c>
      <c r="R12" s="1">
        <f>IF((stroke-0.005)&gt;Q13,Q12+(R9*t),Q12-(9.81*t))</f>
        <v>1.8472551229675425</v>
      </c>
      <c r="S12" s="1">
        <f>IF((stroke-0.005)&gt;R13,R12+(S9*t),R12-(9.81*t))</f>
        <v>1.8912560183592273</v>
      </c>
      <c r="T12" s="1">
        <f>IF((stroke-0.005)&gt;S13,S12+(T9*t),S12-(9.81*t))</f>
        <v>1.9327628340493919</v>
      </c>
      <c r="U12" s="1">
        <f>IF((stroke-0.005)&gt;T13,T12+(U9*t),T12-(9.81*t))</f>
        <v>1.971991026347034</v>
      </c>
      <c r="V12" s="1">
        <f>IF((stroke-0.005)&gt;U13,U12+(V9*t),U12-(9.81*t))</f>
        <v>2.009122616205265</v>
      </c>
      <c r="W12" s="1">
        <f>IF((stroke-0.005)&gt;V13,V12+(W9*t),V12-(9.81*t))</f>
        <v>2.0443120979717</v>
      </c>
      <c r="X12" s="1">
        <f>IF((stroke-0.005)&gt;W13,W12+(X9*t),W12-(9.81*t))</f>
        <v>2.0776910899180163</v>
      </c>
      <c r="Y12" s="1">
        <f>IF((stroke-0.005)&gt;X13,X12+(Y9*t),X12-(9.81*t))</f>
        <v>2.1093720372366973</v>
      </c>
      <c r="Z12" s="1">
        <f>IF((stroke-0.005)&gt;Y13,Y12+(Z9*t),Y12-(9.81*t))</f>
        <v>2.1394511919536296</v>
      </c>
      <c r="AA12" s="1">
        <f>IF((stroke-0.005)&gt;Z13,Z12+(AA9*t),Z12-(9.81*t))</f>
        <v>2.168011034338198</v>
      </c>
      <c r="AB12" s="1">
        <f>IF((stroke-0.005)&gt;AA13,AA12+(AB9*t),AA12-(9.81*t))</f>
        <v>2.19512225814756</v>
      </c>
      <c r="AC12" s="1">
        <f>IF((stroke-0.005)&gt;AB13,AB12+(AC9*t),AB12-(9.81*t))</f>
        <v>2.220845411782122</v>
      </c>
      <c r="AD12" s="1">
        <f>IF((stroke-0.005)&gt;AC13,AC12+(AD9*t),AC12-(9.81*t))</f>
        <v>2.2452322654544257</v>
      </c>
      <c r="AE12" s="1">
        <f>IF((stroke-0.005)&gt;AD13,AD12+(AE9*t),AD12-(9.81*t))</f>
        <v>2.2683269583118215</v>
      </c>
      <c r="AF12" s="1">
        <f>IF((stroke-0.005)&gt;AE13,AE12+(AF9*t),AE12-(9.81*t))</f>
        <v>2.29016696742668</v>
      </c>
      <c r="AG12" s="1">
        <f>IF((stroke-0.005)&gt;AF13,AF12+(AG9*t),AF12-(9.81*t))</f>
        <v>2.3107839315206187</v>
      </c>
      <c r="AH12" s="1">
        <f>IF((stroke-0.005)&gt;AG13,AG12+(AH9*t),AG12-(9.81*t))</f>
        <v>2.330204355414155</v>
      </c>
      <c r="AI12" s="1">
        <f>IF((stroke-0.005)&gt;AH13,AH12+(AI9*t),AH12-(9.81*t))</f>
        <v>2.2648043554141553</v>
      </c>
      <c r="AJ12" s="1">
        <f>IF((stroke-0.005)&gt;AI13,AI12+(AJ9*t),AI12-(9.81*t))</f>
        <v>2.1994043554141554</v>
      </c>
      <c r="AK12" s="1">
        <f>IF((stroke-0.005)&gt;AJ13,AJ12+(AK9*t),AJ12-(9.81*t))</f>
        <v>2.1340043554141555</v>
      </c>
      <c r="AL12" s="1">
        <f>IF((stroke-0.005)&gt;AK13,AK12+(AL9*t),AK12-(9.81*t))</f>
        <v>2.0686043554141555</v>
      </c>
      <c r="AM12" s="1">
        <f>IF((stroke-0.005)&gt;AL13,AL12+(AM9*t),AL12-(9.81*t))</f>
        <v>2.0032043554141556</v>
      </c>
      <c r="AN12" s="1">
        <f>IF((stroke-0.005)&gt;AM13,AM12+(AN9*t),AM12-(9.81*t))</f>
        <v>1.9378043554141557</v>
      </c>
      <c r="AO12" s="1">
        <f>IF((stroke-0.005)&gt;AN13,AN12+(AO9*t),AN12-(9.81*t))</f>
        <v>1.8724043554141558</v>
      </c>
      <c r="AP12" s="1">
        <f>IF((stroke-0.005)&gt;AO13,AO12+(AP9*t),AO12-(9.81*t))</f>
        <v>1.807004355414156</v>
      </c>
      <c r="AQ12" s="1">
        <f>IF((stroke-0.005)&gt;AP13,AP12+(AQ9*t),AP12-(9.81*t))</f>
        <v>1.741604355414156</v>
      </c>
      <c r="AR12" s="1">
        <f>IF((stroke-0.005)&gt;AQ13,AQ12+(AR9*t),AQ12-(9.81*t))</f>
        <v>1.6762043554141561</v>
      </c>
      <c r="AS12" s="1">
        <f>IF((stroke-0.005)&gt;AR13,AR12+(AS9*t),AR12-(9.81*t))</f>
        <v>1.6108043554141562</v>
      </c>
      <c r="AT12" s="1">
        <f>IF((stroke-0.005)&gt;AS13,AS12+(AT9*t),AS12-(9.81*t))</f>
        <v>1.5454043554141563</v>
      </c>
      <c r="AU12" s="1">
        <f>IF((stroke-0.005)&gt;AT13,AT12+(AU9*t),AT12-(9.81*t))</f>
        <v>1.4800043554141564</v>
      </c>
      <c r="AV12" s="1">
        <f>IF((stroke-0.005)&gt;AU13,AU12+(AV9*t),AU12-(9.81*t))</f>
        <v>1.4146043554141565</v>
      </c>
      <c r="AW12" s="1">
        <f>IF((stroke-0.005)&gt;AV13,AV12+(AW9*t),AV12-(9.81*t))</f>
        <v>1.3492043554141566</v>
      </c>
      <c r="AX12" s="1">
        <f>IF((stroke-0.005)&gt;AW13,AW12+(AX9*t),AW12-(9.81*t))</f>
        <v>1.2838043554141567</v>
      </c>
      <c r="AY12" s="1">
        <f>IF((stroke-0.005)&gt;AX13,AX12+(AY9*t),AX12-(9.81*t))</f>
        <v>1.2184043554141568</v>
      </c>
      <c r="AZ12" s="1">
        <f>IF((stroke-0.005)&gt;AY13,AY12+(AZ9*t),AY12-(9.81*t))</f>
        <v>1.153004355414157</v>
      </c>
      <c r="BA12" s="1">
        <f>IF((stroke-0.005)&gt;AZ13,AZ12+(BA9*t),AZ12-(9.81*t))</f>
        <v>1.087604355414157</v>
      </c>
      <c r="BB12" s="1">
        <f>IF((stroke-0.005)&gt;BA13,BA12+(BB9*t),BA12-(9.81*t))</f>
        <v>1.022204355414157</v>
      </c>
      <c r="BC12" s="1">
        <f>IF((stroke-0.005)&gt;BB13,BB12+(BC9*t),BB12-(9.81*t))</f>
        <v>0.9568043554141571</v>
      </c>
      <c r="BD12" s="1">
        <f>IF((stroke-0.005)&gt;BC13,BC12+(BD9*t),BC12-(9.81*t))</f>
        <v>0.8914043554141571</v>
      </c>
      <c r="BE12" s="1">
        <f>IF((stroke-0.005)&gt;BD13,BD12+(BE9*t),BD12-(9.81*t))</f>
        <v>0.8260043554141571</v>
      </c>
      <c r="BF12" s="1">
        <f>IF((stroke-0.005)&gt;BE13,BE12+(BF9*t),BE12-(9.81*t))</f>
        <v>0.760604355414157</v>
      </c>
      <c r="BG12" s="1">
        <f>IF((stroke-0.005)&gt;BF13,BF12+(BG9*t),BF12-(9.81*t))</f>
        <v>0.695204355414157</v>
      </c>
      <c r="BH12" s="1">
        <f>IF((stroke-0.005)&gt;BG13,BG12+(BH9*t),BG12-(9.81*t))</f>
        <v>0.629804355414157</v>
      </c>
      <c r="BI12" s="1">
        <f>IF((stroke-0.005)&gt;BH13,BH12+(BI9*t),BH12-(9.81*t))</f>
        <v>0.564404355414157</v>
      </c>
      <c r="BJ12" s="1">
        <f>IF((stroke-0.005)&gt;BI13,BI12+(BJ9*t),BI12-(9.81*t))</f>
        <v>0.499004355414157</v>
      </c>
      <c r="BK12" s="1">
        <f>IF((stroke-0.005)&gt;BJ13,BJ12+(BK9*t),BJ12-(9.81*t))</f>
        <v>0.433604355414157</v>
      </c>
      <c r="BL12" s="1">
        <f>IF((stroke-0.005)&gt;BK13,BK12+(BL9*t),BK12-(9.81*t))</f>
        <v>0.36820435541415697</v>
      </c>
      <c r="BM12" s="1">
        <f>IF((stroke-0.005)&gt;BL13,BL12+(BM9*t),BL12-(9.81*t))</f>
        <v>0.30280435541415696</v>
      </c>
      <c r="BN12" s="1">
        <f>IF((stroke-0.005)&gt;BM13,BM12+(BN9*t),BM12-(9.81*t))</f>
        <v>0.23740435541415694</v>
      </c>
      <c r="BO12" s="1">
        <f>IF((stroke-0.005)&gt;BN13,BN12+(BO9*t),BN12-(9.81*t))</f>
        <v>0.17200435541415693</v>
      </c>
      <c r="BP12" s="1">
        <f>IF((stroke-0.005)&gt;BO13,BO12+(BP9*t),BO12-(9.81*t))</f>
        <v>0.10660435541415691</v>
      </c>
      <c r="BQ12" s="1">
        <f>IF((stroke-0.005)&gt;BP13,BP12+(BQ9*t),BP12-(9.81*t))</f>
        <v>0.0412043554141569</v>
      </c>
      <c r="BR12" s="1">
        <f>IF((stroke-0.005)&gt;BQ13,BQ12+(BR9*t),BQ12-(9.81*t))</f>
        <v>-0.024195644585843112</v>
      </c>
      <c r="BS12" s="1">
        <f>IF((stroke-0.005)&gt;BR13,BR12+(BS9*t),BR12-(9.81*t))</f>
        <v>-0.08959564458584313</v>
      </c>
      <c r="BT12" s="1">
        <f>IF((stroke-0.005)&gt;BS13,BS12+(BT9*t),BS12-(9.81*t))</f>
        <v>-0.15499564458584314</v>
      </c>
      <c r="BU12" s="1">
        <f>IF((stroke-0.005)&gt;BT13,BT12+(BU9*t),BT12-(9.81*t))</f>
        <v>-0.22039564458584315</v>
      </c>
      <c r="BV12" s="1">
        <f>IF((stroke-0.005)&gt;BU13,BU12+(BV9*t),BU12-(9.81*t))</f>
        <v>-0.28579564458584317</v>
      </c>
      <c r="BW12" s="1">
        <f>IF((stroke-0.005)&gt;BV13,BV12+(BW9*t),BV12-(9.81*t))</f>
        <v>-0.3511956445858432</v>
      </c>
      <c r="BX12" s="1">
        <f>IF((stroke-0.005)&gt;BW13,BW12+(BX9*t),BW12-(9.81*t))</f>
        <v>-0.4165956445858432</v>
      </c>
      <c r="BY12" s="1">
        <f>IF((stroke-0.005)&gt;BX13,BX12+(BY9*t),BX12-(9.81*t))</f>
        <v>-0.4819956445858432</v>
      </c>
      <c r="BZ12" s="1">
        <f>IF((stroke-0.005)&gt;BY13,BY12+(BZ9*t),BY12-(9.81*t))</f>
        <v>-0.5473956445858432</v>
      </c>
      <c r="CA12" s="1">
        <f>IF((stroke-0.005)&gt;BZ13,BZ12+(CA9*t),BZ12-(9.81*t))</f>
        <v>-0.6127956445858432</v>
      </c>
      <c r="CB12" s="1">
        <f>IF((stroke-0.005)&gt;CA13,CA12+(CB9*t),CA12-(9.81*t))</f>
        <v>-0.6781956445858432</v>
      </c>
      <c r="CC12" s="1">
        <f>IF((stroke-0.005)&gt;CB13,CB12+(CC9*t),CB12-(9.81*t))</f>
        <v>-0.7435956445858433</v>
      </c>
      <c r="CD12" s="1">
        <f>IF((stroke-0.005)&gt;CC13,CC12+(CD9*t),CC12-(9.81*t))</f>
        <v>-0.8089956445858433</v>
      </c>
      <c r="CE12" s="1">
        <f>IF((stroke-0.005)&gt;CD13,CD12+(CE9*t),CD12-(9.81*t))</f>
        <v>-0.8743956445858433</v>
      </c>
      <c r="CF12" s="1">
        <f>IF((stroke-0.005)&gt;CE13,CE12+(CF9*t),CE12-(9.81*t))</f>
        <v>-0.9397956445858433</v>
      </c>
      <c r="CG12" s="1">
        <f>IF((stroke-0.005)&gt;CF13,CF12+(CG9*t),CF12-(9.81*t))</f>
        <v>-1.0051956445858434</v>
      </c>
      <c r="CH12" s="1">
        <f>IF((stroke-0.005)&gt;CG13,CG12+(CH9*t),CG12-(9.81*t))</f>
        <v>-1.0705956445858433</v>
      </c>
      <c r="CI12" s="1">
        <f>IF((stroke-0.005)&gt;CH13,CH12+(CI9*t),CH12-(9.81*t))</f>
        <v>-1.1359956445858432</v>
      </c>
      <c r="CJ12" s="1">
        <f>IF((stroke-0.005)&gt;CI13,CI12+(CJ9*t),CI12-(9.81*t))</f>
        <v>-1.2013956445858431</v>
      </c>
      <c r="CK12" s="1">
        <f>IF((stroke-0.005)&gt;CJ13,CJ12+(CK9*t),CJ12-(9.81*t))</f>
        <v>-1.266795644585843</v>
      </c>
      <c r="CL12" s="1">
        <f>IF((stroke-0.005)&gt;CK13,CK12+(CL9*t),CK12-(9.81*t))</f>
        <v>-1.332195644585843</v>
      </c>
      <c r="CM12" s="1">
        <f>IF((stroke-0.005)&gt;CL13,CL12+(CM9*t),CL12-(9.81*t))</f>
        <v>-1.3975956445858428</v>
      </c>
      <c r="CN12" s="1">
        <f>IF((stroke-0.005)&gt;CM13,CM12+(CN9*t),CM12-(9.81*t))</f>
        <v>-1.4629956445858427</v>
      </c>
      <c r="CO12" s="1">
        <f>IF((stroke-0.005)&gt;CN13,CN12+(CO9*t),CN12-(9.81*t))</f>
        <v>-1.5283956445858426</v>
      </c>
      <c r="CP12" s="1">
        <f>IF((stroke-0.005)&gt;CO13,CO12+(CP9*t),CO12-(9.81*t))</f>
        <v>-1.5937956445858426</v>
      </c>
      <c r="CQ12" s="1">
        <f>IF((stroke-0.005)&gt;CP13,CP12+(CQ9*t),CP12-(9.81*t))</f>
        <v>-1.6591956445858425</v>
      </c>
      <c r="CR12" s="1">
        <f>IF((stroke-0.005)&gt;CQ13,CQ12+(CR9*t),CQ12-(9.81*t))</f>
        <v>-1.7245956445858424</v>
      </c>
      <c r="CS12" s="1">
        <f>IF((stroke-0.005)&gt;CR13,CR12+(CS9*t),CR12-(9.81*t))</f>
        <v>-1.7899956445858423</v>
      </c>
      <c r="CT12" s="1">
        <f>IF((stroke-0.005)&gt;CS13,CS12+(CT9*t),CS12-(9.81*t))</f>
        <v>-1.8553956445858422</v>
      </c>
      <c r="CU12" s="1">
        <f>IF((stroke-0.005)&gt;CT13,CT12+(CU9*t),CT12-(9.81*t))</f>
        <v>-1.920795644585842</v>
      </c>
      <c r="CV12" s="1">
        <f>IF((stroke-0.005)&gt;CU13,CU12+(CV9*t),CU12-(9.81*t))</f>
        <v>-1.986195644585842</v>
      </c>
      <c r="CW12" s="1">
        <f>IF((stroke-0.005)&gt;CV13,CV12+(CW9*t),CV12-(9.81*t))</f>
        <v>-2.051595644585842</v>
      </c>
      <c r="CX12" s="1">
        <f>IF((stroke-0.005)&gt;CW13,CW12+(CX9*t),CW12-(9.81*t))</f>
        <v>-2.1169956445858418</v>
      </c>
      <c r="CY12" s="1">
        <f>IF((stroke-0.005)&gt;CX13,CX12+(CY9*t),CX12-(9.81*t))</f>
        <v>-2.1823956445858417</v>
      </c>
      <c r="CZ12" s="1">
        <f>IF((stroke-0.005)&gt;CY13,CY12+(CZ9*t),CY12-(9.81*t))</f>
        <v>-2.2477956445858416</v>
      </c>
      <c r="DA12" s="1">
        <f>IF((stroke-0.005)&gt;CZ13,CZ12+(DA9*t),CZ12-(9.81*t))</f>
        <v>-2.3131956445858415</v>
      </c>
      <c r="DB12" s="1">
        <f>IF((stroke-0.005)&gt;DA13,DA12+(DB9*t),DA12-(9.81*t))</f>
        <v>-2.3785956445858414</v>
      </c>
      <c r="DC12" s="1">
        <f>IF((stroke-0.005)&gt;DB13,DB12+(DC9*t),DB12-(9.81*t))</f>
        <v>-2.4439956445858413</v>
      </c>
      <c r="DD12" s="1">
        <f>IF((stroke-0.005)&gt;DC13,DC12+(DD9*t),DC12-(9.81*t))</f>
        <v>-2.509395644585841</v>
      </c>
      <c r="DE12" s="1">
        <f>IF((stroke-0.005)&gt;DD13,DD12+(DE9*t),DD12-(9.81*t))</f>
        <v>-2.574795644585841</v>
      </c>
      <c r="DF12" s="1">
        <f>IF((stroke-0.005)&gt;DE13,DE12+(DF9*t),DE12-(9.81*t))</f>
        <v>-2.640195644585841</v>
      </c>
      <c r="DG12" s="1">
        <f>IF((stroke-0.005)&gt;DF13,DF12+(DG9*t),DF12-(9.81*t))</f>
        <v>-2.705595644585841</v>
      </c>
      <c r="DH12" s="1">
        <f>IF((stroke-0.005)&gt;DG13,DG12+(DH9*t),DG12-(9.81*t))</f>
        <v>-2.770995644585841</v>
      </c>
      <c r="DI12" s="1">
        <f>IF((stroke-0.005)&gt;DH13,DH12+(DI9*t),DH12-(9.81*t))</f>
        <v>-2.8363956445858407</v>
      </c>
      <c r="DJ12" s="1">
        <f>IF((stroke-0.005)&gt;DI13,DI12+(DJ9*t),DI12-(9.81*t))</f>
        <v>-2.9017956445858406</v>
      </c>
      <c r="DK12" s="1">
        <f>IF((stroke-0.005)&gt;DJ13,DJ12+(DK9*t),DJ12-(9.81*t))</f>
        <v>-2.9671956445858405</v>
      </c>
      <c r="DL12" s="1">
        <f>IF((stroke-0.005)&gt;DK13,DK12+(DL9*t),DK12-(9.81*t))</f>
        <v>-3.0325956445858404</v>
      </c>
      <c r="DM12" s="1">
        <f>IF((stroke-0.005)&gt;DL13,DL12+(DM9*t),DL12-(9.81*t))</f>
        <v>-3.0979956445858403</v>
      </c>
      <c r="DN12" s="1">
        <f>IF((stroke-0.005)&gt;DM13,DM12+(DN9*t),DM12-(9.81*t))</f>
        <v>-3.16339564458584</v>
      </c>
      <c r="DO12" s="1">
        <f>IF((stroke-0.005)&gt;DN13,DN12+(DO9*t),DN12-(9.81*t))</f>
        <v>-3.22879564458584</v>
      </c>
      <c r="DP12" s="1">
        <f>IF((stroke-0.005)&gt;DO13,DO12+(DP9*t),DO12-(9.81*t))</f>
        <v>-3.29419564458584</v>
      </c>
      <c r="DQ12" s="1">
        <f>IF((stroke-0.005)&gt;DP13,DP12+(DQ9*t),DP12-(9.81*t))</f>
        <v>-3.35959564458584</v>
      </c>
      <c r="DR12" s="1">
        <f>IF((stroke-0.005)&gt;DQ13,DQ12+(DR9*t),DQ12-(9.81*t))</f>
        <v>-3.42499564458584</v>
      </c>
      <c r="DS12" s="1">
        <f>IF((stroke-0.005)&gt;DR13,DR12+(DS9*t),DR12-(9.81*t))</f>
        <v>-3.4903956445858397</v>
      </c>
      <c r="DT12" s="1">
        <f>IF((stroke-0.005)&gt;DS13,DS12+(DT9*t),DS12-(9.81*t))</f>
        <v>-3.5557956445858396</v>
      </c>
      <c r="DU12" s="1">
        <f>IF((stroke-0.005)&gt;DT13,DT12+(DU9*t),DT12-(9.81*t))</f>
        <v>-3.6211956445858395</v>
      </c>
      <c r="DV12" s="1">
        <f>IF((stroke-0.005)&gt;DU13,DU12+(DV9*t),DU12-(9.81*t))</f>
        <v>-3.6865956445858394</v>
      </c>
      <c r="DW12" s="1">
        <f>IF((stroke-0.005)&gt;DV13,DV12+(DW9*t),DV12-(9.81*t))</f>
        <v>-3.7519956445858393</v>
      </c>
      <c r="DX12" s="1">
        <f>IF((stroke-0.005)&gt;DW13,DW12+(DX9*t),DW12-(9.81*t))</f>
        <v>-3.8173956445858392</v>
      </c>
      <c r="DY12" s="1">
        <f>IF((stroke-0.005)&gt;DX13,DX12+(DY9*t),DX12-(9.81*t))</f>
        <v>-3.882795644585839</v>
      </c>
      <c r="DZ12" s="1">
        <f>IF((stroke-0.005)&gt;DY13,DY12+(DZ9*t),DY12-(9.81*t))</f>
        <v>-3.948195644585839</v>
      </c>
      <c r="EA12" s="1">
        <f>IF((stroke-0.005)&gt;DZ13,DZ12+(EA9*t),DZ12-(9.81*t))</f>
        <v>-4.013595644585839</v>
      </c>
      <c r="EB12" s="1">
        <f>IF((stroke-0.005)&gt;EA13,EA12+(EB9*t),EA12-(9.81*t))</f>
        <v>-4.07899564458584</v>
      </c>
      <c r="EC12" s="1">
        <f>IF((stroke-0.005)&gt;EB13,EB12+(EC9*t),EB12-(9.81*t))</f>
        <v>-4.14439564458584</v>
      </c>
      <c r="ED12" s="1">
        <f>IF((stroke-0.005)&gt;EC13,EC12+(ED9*t),EC12-(9.81*t))</f>
        <v>-4.20979564458584</v>
      </c>
      <c r="EE12" s="1">
        <f>IF((stroke-0.005)&gt;ED13,ED12+(EE9*t),ED12-(9.81*t))</f>
        <v>-4.275195644585841</v>
      </c>
      <c r="EF12" s="1">
        <f>IF((stroke-0.005)&gt;EE13,EE12+(EF9*t),EE12-(9.81*t))</f>
        <v>-4.340595644585841</v>
      </c>
      <c r="EG12" s="1">
        <f>IF((stroke-0.005)&gt;EF13,EF12+(EG9*t),EF12-(9.81*t))</f>
        <v>-4.4059956445858415</v>
      </c>
    </row>
    <row r="13" spans="1:137" ht="12.75">
      <c r="A13" t="s">
        <v>22</v>
      </c>
      <c r="B13" s="1">
        <f>0</f>
        <v>0</v>
      </c>
      <c r="C13" s="1">
        <f aca="true" t="shared" si="33" ref="C13:AH13">SQRT((AD^2)+(AB^2)-(2*(AD)*(AB)*COS((PI()/2)-(EDsign*ACOS(AE/AD))-(BGsign*(ACOS(((AB^2)+(AC^2)-(BC^2))/(2*(AB)*(AC)))))-(ASIN((-C10-Minimum_flipper_tip_height)/AC)))))-DB</f>
        <v>0.0019018294881423259</v>
      </c>
      <c r="D13" s="1">
        <f t="shared" si="33"/>
        <v>0.004667395466902757</v>
      </c>
      <c r="E13" s="1">
        <f t="shared" si="33"/>
        <v>0.00806410810018654</v>
      </c>
      <c r="F13" s="1">
        <f t="shared" si="33"/>
        <v>0.011982915502776414</v>
      </c>
      <c r="G13" s="1">
        <f t="shared" si="33"/>
        <v>0.016341107578954794</v>
      </c>
      <c r="H13" s="1">
        <f t="shared" si="33"/>
        <v>0.021074389168248886</v>
      </c>
      <c r="I13" s="1">
        <f t="shared" si="33"/>
        <v>0.02613151267431668</v>
      </c>
      <c r="J13" s="1">
        <f t="shared" si="33"/>
        <v>0.031470725743750316</v>
      </c>
      <c r="K13" s="1">
        <f t="shared" si="33"/>
        <v>0.03705738198674868</v>
      </c>
      <c r="L13" s="1">
        <f t="shared" si="33"/>
        <v>0.04286228980578588</v>
      </c>
      <c r="M13" s="1">
        <f t="shared" si="33"/>
        <v>0.04886053841880211</v>
      </c>
      <c r="N13" s="1">
        <f t="shared" si="33"/>
        <v>0.055030640622200866</v>
      </c>
      <c r="O13" s="1">
        <f t="shared" si="33"/>
        <v>0.06135389161642746</v>
      </c>
      <c r="P13" s="1">
        <f t="shared" si="33"/>
        <v>0.06781387910262149</v>
      </c>
      <c r="Q13" s="1">
        <f t="shared" si="33"/>
        <v>0.07439610185728618</v>
      </c>
      <c r="R13" s="1">
        <f t="shared" si="33"/>
        <v>0.08108766781060073</v>
      </c>
      <c r="S13" s="1">
        <f t="shared" si="33"/>
        <v>0.0878770515511671</v>
      </c>
      <c r="T13" s="1">
        <f t="shared" si="33"/>
        <v>0.09475389704544457</v>
      </c>
      <c r="U13" s="1">
        <f t="shared" si="33"/>
        <v>0.10170885531355467</v>
      </c>
      <c r="V13" s="1">
        <f t="shared" si="33"/>
        <v>0.10873344952318587</v>
      </c>
      <c r="W13" s="1">
        <f t="shared" si="33"/>
        <v>0.11581996187071009</v>
      </c>
      <c r="X13" s="1">
        <f t="shared" si="33"/>
        <v>0.12296133797982023</v>
      </c>
      <c r="Y13" s="1">
        <f t="shared" si="33"/>
        <v>0.13015110553532716</v>
      </c>
      <c r="Z13" s="1">
        <f t="shared" si="33"/>
        <v>0.13738330459671577</v>
      </c>
      <c r="AA13" s="1">
        <f t="shared" si="33"/>
        <v>0.14465242757883845</v>
      </c>
      <c r="AB13" s="1">
        <f t="shared" si="33"/>
        <v>0.1519533672976292</v>
      </c>
      <c r="AC13" s="1">
        <f t="shared" si="33"/>
        <v>0.15928137179295687</v>
      </c>
      <c r="AD13" s="1">
        <f t="shared" si="33"/>
        <v>0.1666320048839568</v>
      </c>
      <c r="AE13" s="1">
        <f t="shared" si="33"/>
        <v>0.17400111160242604</v>
      </c>
      <c r="AF13" s="1">
        <f t="shared" si="33"/>
        <v>0.18138478780009604</v>
      </c>
      <c r="AG13" s="1">
        <f t="shared" si="33"/>
        <v>0.18877935334533824</v>
      </c>
      <c r="AH13" s="1">
        <f t="shared" si="33"/>
        <v>0.19618132842106706</v>
      </c>
      <c r="AI13" s="1">
        <f aca="true" t="shared" si="34" ref="AI13:BN13">SQRT((AD^2)+(AB^2)-(2*(AD)*(AB)*COS((PI()/2)-(EDsign*ACOS(AE/AD))-(BGsign*(ACOS(((AB^2)+(AC^2)-(BC^2))/(2*(AB)*(AC)))))-(ASIN((-AI10-Minimum_flipper_tip_height)/AC)))))-DB</f>
        <v>0.19999999999999984</v>
      </c>
      <c r="AJ13" s="1">
        <f t="shared" si="34"/>
        <v>0.19999999999999984</v>
      </c>
      <c r="AK13" s="1">
        <f t="shared" si="34"/>
        <v>0.19999999999999984</v>
      </c>
      <c r="AL13" s="1">
        <f t="shared" si="34"/>
        <v>0.19999999999999984</v>
      </c>
      <c r="AM13" s="1">
        <f t="shared" si="34"/>
        <v>0.19999999999999984</v>
      </c>
      <c r="AN13" s="1">
        <f t="shared" si="34"/>
        <v>0.19999999999999984</v>
      </c>
      <c r="AO13" s="1">
        <f t="shared" si="34"/>
        <v>0.19999999999999984</v>
      </c>
      <c r="AP13" s="1">
        <f t="shared" si="34"/>
        <v>0.19999999999999984</v>
      </c>
      <c r="AQ13" s="1">
        <f t="shared" si="34"/>
        <v>0.19999999999999984</v>
      </c>
      <c r="AR13" s="1">
        <f t="shared" si="34"/>
        <v>0.19999999999999984</v>
      </c>
      <c r="AS13" s="1">
        <f t="shared" si="34"/>
        <v>0.19999999999999984</v>
      </c>
      <c r="AT13" s="1">
        <f t="shared" si="34"/>
        <v>0.19999999999999984</v>
      </c>
      <c r="AU13" s="1">
        <f t="shared" si="34"/>
        <v>0.19999999999999984</v>
      </c>
      <c r="AV13" s="1">
        <f t="shared" si="34"/>
        <v>0.19999999999999984</v>
      </c>
      <c r="AW13" s="1">
        <f t="shared" si="34"/>
        <v>0.19999999999999984</v>
      </c>
      <c r="AX13" s="1">
        <f t="shared" si="34"/>
        <v>0.19999999999999984</v>
      </c>
      <c r="AY13" s="1">
        <f t="shared" si="34"/>
        <v>0.19999999999999984</v>
      </c>
      <c r="AZ13" s="1">
        <f t="shared" si="34"/>
        <v>0.19999999999999984</v>
      </c>
      <c r="BA13" s="1">
        <f t="shared" si="34"/>
        <v>0.19999999999999984</v>
      </c>
      <c r="BB13" s="1">
        <f t="shared" si="34"/>
        <v>0.19999999999999984</v>
      </c>
      <c r="BC13" s="1">
        <f t="shared" si="34"/>
        <v>0.19999999999999984</v>
      </c>
      <c r="BD13" s="1">
        <f t="shared" si="34"/>
        <v>0.19999999999999984</v>
      </c>
      <c r="BE13" s="1">
        <f t="shared" si="34"/>
        <v>0.19999999999999984</v>
      </c>
      <c r="BF13" s="1">
        <f t="shared" si="34"/>
        <v>0.19999999999999984</v>
      </c>
      <c r="BG13" s="1">
        <f t="shared" si="34"/>
        <v>0.19999999999999984</v>
      </c>
      <c r="BH13" s="1">
        <f t="shared" si="34"/>
        <v>0.19999999999999984</v>
      </c>
      <c r="BI13" s="1">
        <f t="shared" si="34"/>
        <v>0.19999999999999984</v>
      </c>
      <c r="BJ13" s="1">
        <f t="shared" si="34"/>
        <v>0.19999999999999984</v>
      </c>
      <c r="BK13" s="1">
        <f t="shared" si="34"/>
        <v>0.19999999999999984</v>
      </c>
      <c r="BL13" s="1">
        <f t="shared" si="34"/>
        <v>0.19999999999999984</v>
      </c>
      <c r="BM13" s="1">
        <f t="shared" si="34"/>
        <v>0.19999999999999984</v>
      </c>
      <c r="BN13" s="1">
        <f t="shared" si="34"/>
        <v>0.19999999999999984</v>
      </c>
      <c r="BO13" s="1">
        <f aca="true" t="shared" si="35" ref="BO13:CT13">SQRT((AD^2)+(AB^2)-(2*(AD)*(AB)*COS((PI()/2)-(EDsign*ACOS(AE/AD))-(BGsign*(ACOS(((AB^2)+(AC^2)-(BC^2))/(2*(AB)*(AC)))))-(ASIN((-BO10-Minimum_flipper_tip_height)/AC)))))-DB</f>
        <v>0.19999999999999984</v>
      </c>
      <c r="BP13" s="1">
        <f t="shared" si="35"/>
        <v>0.19999999999999984</v>
      </c>
      <c r="BQ13" s="1">
        <f t="shared" si="35"/>
        <v>0.19999999999999984</v>
      </c>
      <c r="BR13" s="1">
        <f t="shared" si="35"/>
        <v>0.19999999999999984</v>
      </c>
      <c r="BS13" s="1">
        <f t="shared" si="35"/>
        <v>0.19999999999999984</v>
      </c>
      <c r="BT13" s="1">
        <f t="shared" si="35"/>
        <v>0.19999999999999984</v>
      </c>
      <c r="BU13" s="1">
        <f t="shared" si="35"/>
        <v>0.19999999999999984</v>
      </c>
      <c r="BV13" s="1">
        <f t="shared" si="35"/>
        <v>0.19999999999999984</v>
      </c>
      <c r="BW13" s="1">
        <f t="shared" si="35"/>
        <v>0.19999999999999984</v>
      </c>
      <c r="BX13" s="1">
        <f t="shared" si="35"/>
        <v>0.19999999999999984</v>
      </c>
      <c r="BY13" s="1">
        <f t="shared" si="35"/>
        <v>0.19999999999999984</v>
      </c>
      <c r="BZ13" s="1">
        <f t="shared" si="35"/>
        <v>0.19999999999999984</v>
      </c>
      <c r="CA13" s="1">
        <f t="shared" si="35"/>
        <v>0.19999999999999984</v>
      </c>
      <c r="CB13" s="1">
        <f t="shared" si="35"/>
        <v>0.19999999999999984</v>
      </c>
      <c r="CC13" s="1">
        <f t="shared" si="35"/>
        <v>0.19999999999999984</v>
      </c>
      <c r="CD13" s="1">
        <f t="shared" si="35"/>
        <v>0.19999999999999984</v>
      </c>
      <c r="CE13" s="1">
        <f t="shared" si="35"/>
        <v>0.19999999999999984</v>
      </c>
      <c r="CF13" s="1">
        <f t="shared" si="35"/>
        <v>0.19999999999999984</v>
      </c>
      <c r="CG13" s="1">
        <f t="shared" si="35"/>
        <v>0.19999999999999984</v>
      </c>
      <c r="CH13" s="1">
        <f t="shared" si="35"/>
        <v>0.19999999999999984</v>
      </c>
      <c r="CI13" s="1">
        <f t="shared" si="35"/>
        <v>0.19999999999999984</v>
      </c>
      <c r="CJ13" s="1">
        <f t="shared" si="35"/>
        <v>0.19999999999999984</v>
      </c>
      <c r="CK13" s="1">
        <f t="shared" si="35"/>
        <v>0.19999999999999984</v>
      </c>
      <c r="CL13" s="1">
        <f t="shared" si="35"/>
        <v>0.19999999999999984</v>
      </c>
      <c r="CM13" s="1">
        <f t="shared" si="35"/>
        <v>0.19999999999999984</v>
      </c>
      <c r="CN13" s="1">
        <f t="shared" si="35"/>
        <v>0.19999999999999984</v>
      </c>
      <c r="CO13" s="1">
        <f t="shared" si="35"/>
        <v>0.19999999999999984</v>
      </c>
      <c r="CP13" s="1">
        <f t="shared" si="35"/>
        <v>0.19999999999999984</v>
      </c>
      <c r="CQ13" s="1">
        <f t="shared" si="35"/>
        <v>0.19999999999999984</v>
      </c>
      <c r="CR13" s="1">
        <f t="shared" si="35"/>
        <v>0.19999999999999984</v>
      </c>
      <c r="CS13" s="1">
        <f t="shared" si="35"/>
        <v>0.19999999999999984</v>
      </c>
      <c r="CT13" s="1">
        <f t="shared" si="35"/>
        <v>0.19999999999999984</v>
      </c>
      <c r="CU13" s="1">
        <f aca="true" t="shared" si="36" ref="CU13:DZ13">SQRT((AD^2)+(AB^2)-(2*(AD)*(AB)*COS((PI()/2)-(EDsign*ACOS(AE/AD))-(BGsign*(ACOS(((AB^2)+(AC^2)-(BC^2))/(2*(AB)*(AC)))))-(ASIN((-CU10-Minimum_flipper_tip_height)/AC)))))-DB</f>
        <v>0.19999999999999984</v>
      </c>
      <c r="CV13" s="1">
        <f t="shared" si="36"/>
        <v>0.19999999999999984</v>
      </c>
      <c r="CW13" s="1">
        <f t="shared" si="36"/>
        <v>0.19999999999999984</v>
      </c>
      <c r="CX13" s="1">
        <f t="shared" si="36"/>
        <v>0.19999999999999984</v>
      </c>
      <c r="CY13" s="1">
        <f t="shared" si="36"/>
        <v>0.19999999999999984</v>
      </c>
      <c r="CZ13" s="1">
        <f t="shared" si="36"/>
        <v>0.19999999999999984</v>
      </c>
      <c r="DA13" s="1">
        <f t="shared" si="36"/>
        <v>0.19999999999999984</v>
      </c>
      <c r="DB13" s="1">
        <f t="shared" si="36"/>
        <v>0.19999999999999984</v>
      </c>
      <c r="DC13" s="1">
        <f t="shared" si="36"/>
        <v>0.19999999999999984</v>
      </c>
      <c r="DD13" s="1">
        <f t="shared" si="36"/>
        <v>0.19999999999999984</v>
      </c>
      <c r="DE13" s="1">
        <f t="shared" si="36"/>
        <v>0.19999999999999984</v>
      </c>
      <c r="DF13" s="1">
        <f t="shared" si="36"/>
        <v>0.19999999999999984</v>
      </c>
      <c r="DG13" s="1">
        <f t="shared" si="36"/>
        <v>0.19999999999999984</v>
      </c>
      <c r="DH13" s="1">
        <f t="shared" si="36"/>
        <v>0.19999999999999984</v>
      </c>
      <c r="DI13" s="1">
        <f t="shared" si="36"/>
        <v>0.19999999999999984</v>
      </c>
      <c r="DJ13" s="1">
        <f t="shared" si="36"/>
        <v>0.19999999999999984</v>
      </c>
      <c r="DK13" s="1">
        <f t="shared" si="36"/>
        <v>0.19999999999999984</v>
      </c>
      <c r="DL13" s="1">
        <f t="shared" si="36"/>
        <v>0.19999999999999984</v>
      </c>
      <c r="DM13" s="1">
        <f t="shared" si="36"/>
        <v>0.19999999999999984</v>
      </c>
      <c r="DN13" s="1">
        <f t="shared" si="36"/>
        <v>0.19999999999999984</v>
      </c>
      <c r="DO13" s="1">
        <f t="shared" si="36"/>
        <v>0.19999999999999984</v>
      </c>
      <c r="DP13" s="1">
        <f t="shared" si="36"/>
        <v>0.19999999999999984</v>
      </c>
      <c r="DQ13" s="1">
        <f t="shared" si="36"/>
        <v>0.19999999999999984</v>
      </c>
      <c r="DR13" s="1">
        <f t="shared" si="36"/>
        <v>0.19999999999999984</v>
      </c>
      <c r="DS13" s="1">
        <f t="shared" si="36"/>
        <v>0.19999999999999984</v>
      </c>
      <c r="DT13" s="1">
        <f t="shared" si="36"/>
        <v>0.19999999999999984</v>
      </c>
      <c r="DU13" s="1">
        <f t="shared" si="36"/>
        <v>0.19999999999999984</v>
      </c>
      <c r="DV13" s="1">
        <f t="shared" si="36"/>
        <v>0.19999999999999984</v>
      </c>
      <c r="DW13" s="1">
        <f t="shared" si="36"/>
        <v>0.19999999999999984</v>
      </c>
      <c r="DX13" s="1">
        <f t="shared" si="36"/>
        <v>0.19999999999999984</v>
      </c>
      <c r="DY13" s="1">
        <f t="shared" si="36"/>
        <v>0.19999999999999984</v>
      </c>
      <c r="DZ13" s="1">
        <f t="shared" si="36"/>
        <v>0.19999999999999984</v>
      </c>
      <c r="EA13" s="1">
        <f aca="true" t="shared" si="37" ref="EA13:EG13">SQRT((AD^2)+(AB^2)-(2*(AD)*(AB)*COS((PI()/2)-(EDsign*ACOS(AE/AD))-(BGsign*(ACOS(((AB^2)+(AC^2)-(BC^2))/(2*(AB)*(AC)))))-(ASIN((-EA10-Minimum_flipper_tip_height)/AC)))))-DB</f>
        <v>0.19999999999999984</v>
      </c>
      <c r="EB13" s="1">
        <f t="shared" si="37"/>
        <v>0.19999999999999984</v>
      </c>
      <c r="EC13" s="1">
        <f t="shared" si="37"/>
        <v>0.19999999999999984</v>
      </c>
      <c r="ED13" s="1">
        <f t="shared" si="37"/>
        <v>0.19999999999999984</v>
      </c>
      <c r="EE13" s="1">
        <f t="shared" si="37"/>
        <v>0.19999999999999984</v>
      </c>
      <c r="EF13" s="1">
        <f t="shared" si="37"/>
        <v>0.19999999999999984</v>
      </c>
      <c r="EG13" s="1">
        <f t="shared" si="37"/>
        <v>0.19999999999999984</v>
      </c>
    </row>
    <row r="14" spans="1:137" s="42" customFormat="1" ht="12.75">
      <c r="A14" s="40" t="s">
        <v>110</v>
      </c>
      <c r="B14" s="41">
        <f>(-((PI()/2)-(EDsign*(ACOS(AE/AD)))-(ACOS(((AD^2)+(AB^2)-((DB)^2))/(2*(AD)*(AB))))-(BGsign*(ACOS(((AB^2)+(AC^2)-(BC^2))/(2*(AB)*(AC)))))))</f>
        <v>-0.4388663868965338</v>
      </c>
      <c r="C14" s="41">
        <f>(-((PI()/2)-(EDsign*(ACOS(AE/AD)))-(ACOS(((AD^2)+(AB^2)-((B13+DB)^2))/(2*(AD)*(AB))))-(BGsign*(ACOS(((AB^2)+(AC^2)-(BC^2))/(2*(AB)*(AC)))))))</f>
        <v>-0.4388663868965338</v>
      </c>
      <c r="D14" s="41">
        <f aca="true" t="shared" si="38" ref="D14:BO14">(-((PI()/2)-(EDsign*(ACOS(AE/AD)))-(ACOS(((AD^2)+(AB^2)-((C13+DB)^2))/(2*(AD)*(AB))))-(BGsign*(ACOS(((AB^2)+(AC^2)-(BC^2))/(2*(AB)*(AC)))))))</f>
        <v>-0.4349292642925656</v>
      </c>
      <c r="E14" s="41">
        <f t="shared" si="38"/>
        <v>-0.4291984550672434</v>
      </c>
      <c r="F14" s="41">
        <f t="shared" si="38"/>
        <v>-0.4221505619583935</v>
      </c>
      <c r="G14" s="41">
        <f t="shared" si="38"/>
        <v>-0.4140064954330218</v>
      </c>
      <c r="H14" s="41">
        <f t="shared" si="38"/>
        <v>-0.4049327514302934</v>
      </c>
      <c r="I14" s="41">
        <f t="shared" si="38"/>
        <v>-0.3950578593970435</v>
      </c>
      <c r="J14" s="41">
        <f t="shared" si="38"/>
        <v>-0.3844834966840145</v>
      </c>
      <c r="K14" s="41">
        <f t="shared" si="38"/>
        <v>-0.3732918334081434</v>
      </c>
      <c r="L14" s="41">
        <f t="shared" si="38"/>
        <v>-0.361550465878834</v>
      </c>
      <c r="M14" s="41">
        <f t="shared" si="38"/>
        <v>-0.3493158214111842</v>
      </c>
      <c r="N14" s="41">
        <f t="shared" si="38"/>
        <v>-0.33663557582729897</v>
      </c>
      <c r="O14" s="41">
        <f t="shared" si="38"/>
        <v>-0.3235504161958618</v>
      </c>
      <c r="P14" s="41">
        <f t="shared" si="38"/>
        <v>-0.31009535729555404</v>
      </c>
      <c r="Q14" s="41">
        <f t="shared" si="38"/>
        <v>-0.29630074587737965</v>
      </c>
      <c r="R14" s="41">
        <f t="shared" si="38"/>
        <v>-0.2821930412211895</v>
      </c>
      <c r="S14" s="41">
        <f t="shared" si="38"/>
        <v>-0.2677954318693918</v>
      </c>
      <c r="T14" s="41">
        <f t="shared" si="38"/>
        <v>-0.25312833000997204</v>
      </c>
      <c r="U14" s="41">
        <f t="shared" si="38"/>
        <v>-0.23820977285017642</v>
      </c>
      <c r="V14" s="41">
        <f t="shared" si="38"/>
        <v>-0.22305575214978335</v>
      </c>
      <c r="W14" s="41">
        <f t="shared" si="38"/>
        <v>-0.20768048746242207</v>
      </c>
      <c r="X14" s="41">
        <f t="shared" si="38"/>
        <v>-0.19209665469352633</v>
      </c>
      <c r="Y14" s="41">
        <f t="shared" si="38"/>
        <v>-0.17631557877265247</v>
      </c>
      <c r="Z14" s="41">
        <f t="shared" si="38"/>
        <v>-0.16034739719951863</v>
      </c>
      <c r="AA14" s="41">
        <f t="shared" si="38"/>
        <v>-0.14420119972255607</v>
      </c>
      <c r="AB14" s="41">
        <f t="shared" si="38"/>
        <v>-0.1278851482885175</v>
      </c>
      <c r="AC14" s="41">
        <f t="shared" si="38"/>
        <v>-0.11140658055450592</v>
      </c>
      <c r="AD14" s="41">
        <f t="shared" si="38"/>
        <v>-0.09477209960533006</v>
      </c>
      <c r="AE14" s="41">
        <f t="shared" si="38"/>
        <v>-0.07798765201716873</v>
      </c>
      <c r="AF14" s="41">
        <f t="shared" si="38"/>
        <v>-0.06105859601592556</v>
      </c>
      <c r="AG14" s="41">
        <f t="shared" si="38"/>
        <v>-0.04398976116860709</v>
      </c>
      <c r="AH14" s="41">
        <f t="shared" si="38"/>
        <v>-0.026785500798891526</v>
      </c>
      <c r="AI14" s="41">
        <f t="shared" si="38"/>
        <v>-0.00944973811940586</v>
      </c>
      <c r="AJ14" s="41">
        <f t="shared" si="38"/>
        <v>-0.0004602525893895315</v>
      </c>
      <c r="AK14" s="41">
        <f t="shared" si="38"/>
        <v>-0.0004602525893895315</v>
      </c>
      <c r="AL14" s="41">
        <f t="shared" si="38"/>
        <v>-0.0004602525893895315</v>
      </c>
      <c r="AM14" s="41">
        <f t="shared" si="38"/>
        <v>-0.0004602525893895315</v>
      </c>
      <c r="AN14" s="41">
        <f t="shared" si="38"/>
        <v>-0.0004602525893895315</v>
      </c>
      <c r="AO14" s="41">
        <f t="shared" si="38"/>
        <v>-0.0004602525893895315</v>
      </c>
      <c r="AP14" s="41">
        <f t="shared" si="38"/>
        <v>-0.0004602525893895315</v>
      </c>
      <c r="AQ14" s="41">
        <f t="shared" si="38"/>
        <v>-0.0004602525893895315</v>
      </c>
      <c r="AR14" s="41">
        <f t="shared" si="38"/>
        <v>-0.0004602525893895315</v>
      </c>
      <c r="AS14" s="41">
        <f t="shared" si="38"/>
        <v>-0.0004602525893895315</v>
      </c>
      <c r="AT14" s="41">
        <f t="shared" si="38"/>
        <v>-0.0004602525893895315</v>
      </c>
      <c r="AU14" s="41">
        <f t="shared" si="38"/>
        <v>-0.0004602525893895315</v>
      </c>
      <c r="AV14" s="41">
        <f t="shared" si="38"/>
        <v>-0.0004602525893895315</v>
      </c>
      <c r="AW14" s="41">
        <f t="shared" si="38"/>
        <v>-0.0004602525893895315</v>
      </c>
      <c r="AX14" s="41">
        <f t="shared" si="38"/>
        <v>-0.0004602525893895315</v>
      </c>
      <c r="AY14" s="41">
        <f t="shared" si="38"/>
        <v>-0.0004602525893895315</v>
      </c>
      <c r="AZ14" s="41">
        <f t="shared" si="38"/>
        <v>-0.0004602525893895315</v>
      </c>
      <c r="BA14" s="41">
        <f t="shared" si="38"/>
        <v>-0.0004602525893895315</v>
      </c>
      <c r="BB14" s="41">
        <f t="shared" si="38"/>
        <v>-0.0004602525893895315</v>
      </c>
      <c r="BC14" s="41">
        <f t="shared" si="38"/>
        <v>-0.0004602525893895315</v>
      </c>
      <c r="BD14" s="41">
        <f t="shared" si="38"/>
        <v>-0.0004602525893895315</v>
      </c>
      <c r="BE14" s="41">
        <f t="shared" si="38"/>
        <v>-0.0004602525893895315</v>
      </c>
      <c r="BF14" s="41">
        <f t="shared" si="38"/>
        <v>-0.0004602525893895315</v>
      </c>
      <c r="BG14" s="41">
        <f t="shared" si="38"/>
        <v>-0.0004602525893895315</v>
      </c>
      <c r="BH14" s="41">
        <f t="shared" si="38"/>
        <v>-0.0004602525893895315</v>
      </c>
      <c r="BI14" s="41">
        <f t="shared" si="38"/>
        <v>-0.0004602525893895315</v>
      </c>
      <c r="BJ14" s="41">
        <f t="shared" si="38"/>
        <v>-0.0004602525893895315</v>
      </c>
      <c r="BK14" s="41">
        <f t="shared" si="38"/>
        <v>-0.0004602525893895315</v>
      </c>
      <c r="BL14" s="41">
        <f t="shared" si="38"/>
        <v>-0.0004602525893895315</v>
      </c>
      <c r="BM14" s="41">
        <f t="shared" si="38"/>
        <v>-0.0004602525893895315</v>
      </c>
      <c r="BN14" s="41">
        <f t="shared" si="38"/>
        <v>-0.0004602525893895315</v>
      </c>
      <c r="BO14" s="41">
        <f t="shared" si="38"/>
        <v>-0.0004602525893895315</v>
      </c>
      <c r="BP14" s="41">
        <f aca="true" t="shared" si="39" ref="BP14:CH14">(-((PI()/2)-(EDsign*(ACOS(AE/AD)))-(ACOS(((AD^2)+(AB^2)-((BO13+DB)^2))/(2*(AD)*(AB))))-(BGsign*(ACOS(((AB^2)+(AC^2)-(BC^2))/(2*(AB)*(AC)))))))</f>
        <v>-0.0004602525893895315</v>
      </c>
      <c r="BQ14" s="41">
        <f t="shared" si="39"/>
        <v>-0.0004602525893895315</v>
      </c>
      <c r="BR14" s="41">
        <f t="shared" si="39"/>
        <v>-0.0004602525893895315</v>
      </c>
      <c r="BS14" s="41">
        <f t="shared" si="39"/>
        <v>-0.0004602525893895315</v>
      </c>
      <c r="BT14" s="41">
        <f t="shared" si="39"/>
        <v>-0.0004602525893895315</v>
      </c>
      <c r="BU14" s="41">
        <f t="shared" si="39"/>
        <v>-0.0004602525893895315</v>
      </c>
      <c r="BV14" s="41">
        <f t="shared" si="39"/>
        <v>-0.0004602525893895315</v>
      </c>
      <c r="BW14" s="41">
        <f t="shared" si="39"/>
        <v>-0.0004602525893895315</v>
      </c>
      <c r="BX14" s="41">
        <f t="shared" si="39"/>
        <v>-0.0004602525893895315</v>
      </c>
      <c r="BY14" s="41">
        <f t="shared" si="39"/>
        <v>-0.0004602525893895315</v>
      </c>
      <c r="BZ14" s="41">
        <f t="shared" si="39"/>
        <v>-0.0004602525893895315</v>
      </c>
      <c r="CA14" s="41">
        <f t="shared" si="39"/>
        <v>-0.0004602525893895315</v>
      </c>
      <c r="CB14" s="41">
        <f t="shared" si="39"/>
        <v>-0.0004602525893895315</v>
      </c>
      <c r="CC14" s="41">
        <f t="shared" si="39"/>
        <v>-0.0004602525893895315</v>
      </c>
      <c r="CD14" s="41">
        <f t="shared" si="39"/>
        <v>-0.0004602525893895315</v>
      </c>
      <c r="CE14" s="41">
        <f t="shared" si="39"/>
        <v>-0.0004602525893895315</v>
      </c>
      <c r="CF14" s="41">
        <f t="shared" si="39"/>
        <v>-0.0004602525893895315</v>
      </c>
      <c r="CG14" s="41">
        <f t="shared" si="39"/>
        <v>-0.0004602525893895315</v>
      </c>
      <c r="CH14" s="41">
        <f t="shared" si="39"/>
        <v>-0.0004602525893895315</v>
      </c>
      <c r="CI14" s="41">
        <f aca="true" t="shared" si="40" ref="CI14:DN14">(-((PI()/2)-(EDsign*(ACOS(AE/AD)))-(ACOS(((AD^2)+(AB^2)-((CH13+DB)^2))/(2*(AD)*(AB))))-(BGsign*(ACOS(((AB^2)+(AC^2)-(BC^2))/(2*(AB)*(AC)))))))</f>
        <v>-0.0004602525893895315</v>
      </c>
      <c r="CJ14" s="41">
        <f t="shared" si="40"/>
        <v>-0.0004602525893895315</v>
      </c>
      <c r="CK14" s="41">
        <f t="shared" si="40"/>
        <v>-0.0004602525893895315</v>
      </c>
      <c r="CL14" s="41">
        <f t="shared" si="40"/>
        <v>-0.0004602525893895315</v>
      </c>
      <c r="CM14" s="41">
        <f t="shared" si="40"/>
        <v>-0.0004602525893895315</v>
      </c>
      <c r="CN14" s="41">
        <f t="shared" si="40"/>
        <v>-0.0004602525893895315</v>
      </c>
      <c r="CO14" s="41">
        <f t="shared" si="40"/>
        <v>-0.0004602525893895315</v>
      </c>
      <c r="CP14" s="41">
        <f t="shared" si="40"/>
        <v>-0.0004602525893895315</v>
      </c>
      <c r="CQ14" s="41">
        <f t="shared" si="40"/>
        <v>-0.0004602525893895315</v>
      </c>
      <c r="CR14" s="41">
        <f t="shared" si="40"/>
        <v>-0.0004602525893895315</v>
      </c>
      <c r="CS14" s="41">
        <f t="shared" si="40"/>
        <v>-0.0004602525893895315</v>
      </c>
      <c r="CT14" s="41">
        <f t="shared" si="40"/>
        <v>-0.0004602525893895315</v>
      </c>
      <c r="CU14" s="41">
        <f t="shared" si="40"/>
        <v>-0.0004602525893895315</v>
      </c>
      <c r="CV14" s="41">
        <f t="shared" si="40"/>
        <v>-0.0004602525893895315</v>
      </c>
      <c r="CW14" s="41">
        <f t="shared" si="40"/>
        <v>-0.0004602525893895315</v>
      </c>
      <c r="CX14" s="41">
        <f t="shared" si="40"/>
        <v>-0.0004602525893895315</v>
      </c>
      <c r="CY14" s="41">
        <f t="shared" si="40"/>
        <v>-0.0004602525893895315</v>
      </c>
      <c r="CZ14" s="41">
        <f t="shared" si="40"/>
        <v>-0.0004602525893895315</v>
      </c>
      <c r="DA14" s="41">
        <f t="shared" si="40"/>
        <v>-0.0004602525893895315</v>
      </c>
      <c r="DB14" s="41">
        <f t="shared" si="40"/>
        <v>-0.0004602525893895315</v>
      </c>
      <c r="DC14" s="41">
        <f t="shared" si="40"/>
        <v>-0.0004602525893895315</v>
      </c>
      <c r="DD14" s="41">
        <f t="shared" si="40"/>
        <v>-0.0004602525893895315</v>
      </c>
      <c r="DE14" s="41">
        <f t="shared" si="40"/>
        <v>-0.0004602525893895315</v>
      </c>
      <c r="DF14" s="41">
        <f t="shared" si="40"/>
        <v>-0.0004602525893895315</v>
      </c>
      <c r="DG14" s="41">
        <f t="shared" si="40"/>
        <v>-0.0004602525893895315</v>
      </c>
      <c r="DH14" s="41">
        <f t="shared" si="40"/>
        <v>-0.0004602525893895315</v>
      </c>
      <c r="DI14" s="41">
        <f t="shared" si="40"/>
        <v>-0.0004602525893895315</v>
      </c>
      <c r="DJ14" s="41">
        <f t="shared" si="40"/>
        <v>-0.0004602525893895315</v>
      </c>
      <c r="DK14" s="41">
        <f t="shared" si="40"/>
        <v>-0.0004602525893895315</v>
      </c>
      <c r="DL14" s="41">
        <f t="shared" si="40"/>
        <v>-0.0004602525893895315</v>
      </c>
      <c r="DM14" s="41">
        <f t="shared" si="40"/>
        <v>-0.0004602525893895315</v>
      </c>
      <c r="DN14" s="41">
        <f t="shared" si="40"/>
        <v>-0.0004602525893895315</v>
      </c>
      <c r="DO14" s="41">
        <f aca="true" t="shared" si="41" ref="DO14:EG14">(-((PI()/2)-(EDsign*(ACOS(AE/AD)))-(ACOS(((AD^2)+(AB^2)-((DN13+DB)^2))/(2*(AD)*(AB))))-(BGsign*(ACOS(((AB^2)+(AC^2)-(BC^2))/(2*(AB)*(AC)))))))</f>
        <v>-0.0004602525893895315</v>
      </c>
      <c r="DP14" s="41">
        <f t="shared" si="41"/>
        <v>-0.0004602525893895315</v>
      </c>
      <c r="DQ14" s="41">
        <f t="shared" si="41"/>
        <v>-0.0004602525893895315</v>
      </c>
      <c r="DR14" s="41">
        <f t="shared" si="41"/>
        <v>-0.0004602525893895315</v>
      </c>
      <c r="DS14" s="41">
        <f t="shared" si="41"/>
        <v>-0.0004602525893895315</v>
      </c>
      <c r="DT14" s="41">
        <f t="shared" si="41"/>
        <v>-0.0004602525893895315</v>
      </c>
      <c r="DU14" s="41">
        <f t="shared" si="41"/>
        <v>-0.0004602525893895315</v>
      </c>
      <c r="DV14" s="41">
        <f t="shared" si="41"/>
        <v>-0.0004602525893895315</v>
      </c>
      <c r="DW14" s="41">
        <f t="shared" si="41"/>
        <v>-0.0004602525893895315</v>
      </c>
      <c r="DX14" s="41">
        <f t="shared" si="41"/>
        <v>-0.0004602525893895315</v>
      </c>
      <c r="DY14" s="41">
        <f t="shared" si="41"/>
        <v>-0.0004602525893895315</v>
      </c>
      <c r="DZ14" s="41">
        <f t="shared" si="41"/>
        <v>-0.0004602525893895315</v>
      </c>
      <c r="EA14" s="41">
        <f t="shared" si="41"/>
        <v>-0.0004602525893895315</v>
      </c>
      <c r="EB14" s="41">
        <f t="shared" si="41"/>
        <v>-0.0004602525893895315</v>
      </c>
      <c r="EC14" s="41">
        <f t="shared" si="41"/>
        <v>-0.0004602525893895315</v>
      </c>
      <c r="ED14" s="41">
        <f t="shared" si="41"/>
        <v>-0.0004602525893895315</v>
      </c>
      <c r="EE14" s="41">
        <f t="shared" si="41"/>
        <v>-0.0004602525893895315</v>
      </c>
      <c r="EF14" s="41">
        <f t="shared" si="41"/>
        <v>-0.0004602525893895315</v>
      </c>
      <c r="EG14" s="41">
        <f t="shared" si="41"/>
        <v>-0.0004602525893895315</v>
      </c>
    </row>
    <row r="15" spans="1:137" s="42" customFormat="1" ht="12.75">
      <c r="A15" s="43" t="s">
        <v>114</v>
      </c>
      <c r="B15" s="44">
        <f>AD*(SIN(ACOS(((AD^2)+((DB)^2)-(AB^2))/(2*(AD)*(DB)))))</f>
        <v>0.48324148004133954</v>
      </c>
      <c r="C15" s="44">
        <f>AD*(SIN(ACOS(((AD^2)+((B13+DB)^2)-(AB^2))/(2*(AD)*(B13+DB)))))</f>
        <v>0.48324148004133954</v>
      </c>
      <c r="D15" s="44">
        <f aca="true" t="shared" si="42" ref="D15:BO15">AD*(SIN(ACOS(((AD^2)+((C13+DB)^2)-(AB^2))/(2*(AD)*(C13+DB)))))</f>
        <v>0.48285919622824736</v>
      </c>
      <c r="E15" s="44">
        <f t="shared" si="42"/>
        <v>0.4822968782022306</v>
      </c>
      <c r="F15" s="44">
        <f t="shared" si="42"/>
        <v>0.4815958741596212</v>
      </c>
      <c r="G15" s="44">
        <f t="shared" si="42"/>
        <v>0.4807730155080016</v>
      </c>
      <c r="H15" s="44">
        <f t="shared" si="42"/>
        <v>0.47984025208498193</v>
      </c>
      <c r="I15" s="44">
        <f t="shared" si="42"/>
        <v>0.4788062906448941</v>
      </c>
      <c r="J15" s="44">
        <f t="shared" si="42"/>
        <v>0.4776776653208372</v>
      </c>
      <c r="K15" s="44">
        <f t="shared" si="42"/>
        <v>0.4764594221595547</v>
      </c>
      <c r="L15" s="44">
        <f t="shared" si="42"/>
        <v>0.4751555621011301</v>
      </c>
      <c r="M15" s="44">
        <f t="shared" si="42"/>
        <v>0.47376933377532676</v>
      </c>
      <c r="N15" s="44">
        <f t="shared" si="42"/>
        <v>0.4723034313687984</v>
      </c>
      <c r="O15" s="44">
        <f t="shared" si="42"/>
        <v>0.47076013114547616</v>
      </c>
      <c r="P15" s="44">
        <f t="shared" si="42"/>
        <v>0.4691413874404462</v>
      </c>
      <c r="Q15" s="44">
        <f t="shared" si="42"/>
        <v>0.467448901338837</v>
      </c>
      <c r="R15" s="44">
        <f t="shared" si="42"/>
        <v>0.4656841706145649</v>
      </c>
      <c r="S15" s="44">
        <f t="shared" si="42"/>
        <v>0.4638485266099936</v>
      </c>
      <c r="T15" s="44">
        <f t="shared" si="42"/>
        <v>0.4619431618894189</v>
      </c>
      <c r="U15" s="44">
        <f t="shared" si="42"/>
        <v>0.459969151293728</v>
      </c>
      <c r="V15" s="44">
        <f t="shared" si="42"/>
        <v>0.45792746822214303</v>
      </c>
      <c r="W15" s="44">
        <f t="shared" si="42"/>
        <v>0.4558189974252147</v>
      </c>
      <c r="X15" s="44">
        <f t="shared" si="42"/>
        <v>0.4536445452216072</v>
      </c>
      <c r="Y15" s="44">
        <f t="shared" si="42"/>
        <v>0.45140484779304463</v>
      </c>
      <c r="Z15" s="44">
        <f t="shared" si="42"/>
        <v>0.4491005780304036</v>
      </c>
      <c r="AA15" s="44">
        <f t="shared" si="42"/>
        <v>0.44673235127528044</v>
      </c>
      <c r="AB15" s="44">
        <f t="shared" si="42"/>
        <v>0.44430073020931327</v>
      </c>
      <c r="AC15" s="44">
        <f t="shared" si="42"/>
        <v>0.44180622907720435</v>
      </c>
      <c r="AD15" s="44">
        <f t="shared" si="42"/>
        <v>0.4392493173812541</v>
      </c>
      <c r="AE15" s="44">
        <f t="shared" si="42"/>
        <v>0.4366304231500941</v>
      </c>
      <c r="AF15" s="44">
        <f t="shared" si="42"/>
        <v>0.4339499358585202</v>
      </c>
      <c r="AG15" s="44">
        <f t="shared" si="42"/>
        <v>0.4312082090563076</v>
      </c>
      <c r="AH15" s="44">
        <f t="shared" si="42"/>
        <v>0.4284055627497782</v>
      </c>
      <c r="AI15" s="44">
        <f t="shared" si="42"/>
        <v>0.42554228556936263</v>
      </c>
      <c r="AJ15" s="44">
        <f t="shared" si="42"/>
        <v>0.42404221574393364</v>
      </c>
      <c r="AK15" s="44">
        <f t="shared" si="42"/>
        <v>0.42404221574393364</v>
      </c>
      <c r="AL15" s="44">
        <f t="shared" si="42"/>
        <v>0.42404221574393364</v>
      </c>
      <c r="AM15" s="44">
        <f t="shared" si="42"/>
        <v>0.42404221574393364</v>
      </c>
      <c r="AN15" s="44">
        <f t="shared" si="42"/>
        <v>0.42404221574393364</v>
      </c>
      <c r="AO15" s="44">
        <f t="shared" si="42"/>
        <v>0.42404221574393364</v>
      </c>
      <c r="AP15" s="44">
        <f t="shared" si="42"/>
        <v>0.42404221574393364</v>
      </c>
      <c r="AQ15" s="44">
        <f t="shared" si="42"/>
        <v>0.42404221574393364</v>
      </c>
      <c r="AR15" s="44">
        <f t="shared" si="42"/>
        <v>0.42404221574393364</v>
      </c>
      <c r="AS15" s="44">
        <f t="shared" si="42"/>
        <v>0.42404221574393364</v>
      </c>
      <c r="AT15" s="44">
        <f t="shared" si="42"/>
        <v>0.42404221574393364</v>
      </c>
      <c r="AU15" s="44">
        <f t="shared" si="42"/>
        <v>0.42404221574393364</v>
      </c>
      <c r="AV15" s="44">
        <f t="shared" si="42"/>
        <v>0.42404221574393364</v>
      </c>
      <c r="AW15" s="44">
        <f t="shared" si="42"/>
        <v>0.42404221574393364</v>
      </c>
      <c r="AX15" s="44">
        <f t="shared" si="42"/>
        <v>0.42404221574393364</v>
      </c>
      <c r="AY15" s="44">
        <f t="shared" si="42"/>
        <v>0.42404221574393364</v>
      </c>
      <c r="AZ15" s="44">
        <f t="shared" si="42"/>
        <v>0.42404221574393364</v>
      </c>
      <c r="BA15" s="44">
        <f t="shared" si="42"/>
        <v>0.42404221574393364</v>
      </c>
      <c r="BB15" s="44">
        <f t="shared" si="42"/>
        <v>0.42404221574393364</v>
      </c>
      <c r="BC15" s="44">
        <f t="shared" si="42"/>
        <v>0.42404221574393364</v>
      </c>
      <c r="BD15" s="44">
        <f t="shared" si="42"/>
        <v>0.42404221574393364</v>
      </c>
      <c r="BE15" s="44">
        <f t="shared" si="42"/>
        <v>0.42404221574393364</v>
      </c>
      <c r="BF15" s="44">
        <f t="shared" si="42"/>
        <v>0.42404221574393364</v>
      </c>
      <c r="BG15" s="44">
        <f t="shared" si="42"/>
        <v>0.42404221574393364</v>
      </c>
      <c r="BH15" s="44">
        <f t="shared" si="42"/>
        <v>0.42404221574393364</v>
      </c>
      <c r="BI15" s="44">
        <f t="shared" si="42"/>
        <v>0.42404221574393364</v>
      </c>
      <c r="BJ15" s="44">
        <f t="shared" si="42"/>
        <v>0.42404221574393364</v>
      </c>
      <c r="BK15" s="44">
        <f t="shared" si="42"/>
        <v>0.42404221574393364</v>
      </c>
      <c r="BL15" s="44">
        <f t="shared" si="42"/>
        <v>0.42404221574393364</v>
      </c>
      <c r="BM15" s="44">
        <f t="shared" si="42"/>
        <v>0.42404221574393364</v>
      </c>
      <c r="BN15" s="44">
        <f t="shared" si="42"/>
        <v>0.42404221574393364</v>
      </c>
      <c r="BO15" s="44">
        <f t="shared" si="42"/>
        <v>0.42404221574393364</v>
      </c>
      <c r="BP15" s="44">
        <f aca="true" t="shared" si="43" ref="BP15:CH15">AD*(SIN(ACOS(((AD^2)+((BO13+DB)^2)-(AB^2))/(2*(AD)*(BO13+DB)))))</f>
        <v>0.42404221574393364</v>
      </c>
      <c r="BQ15" s="44">
        <f t="shared" si="43"/>
        <v>0.42404221574393364</v>
      </c>
      <c r="BR15" s="44">
        <f t="shared" si="43"/>
        <v>0.42404221574393364</v>
      </c>
      <c r="BS15" s="44">
        <f t="shared" si="43"/>
        <v>0.42404221574393364</v>
      </c>
      <c r="BT15" s="44">
        <f t="shared" si="43"/>
        <v>0.42404221574393364</v>
      </c>
      <c r="BU15" s="44">
        <f t="shared" si="43"/>
        <v>0.42404221574393364</v>
      </c>
      <c r="BV15" s="44">
        <f t="shared" si="43"/>
        <v>0.42404221574393364</v>
      </c>
      <c r="BW15" s="44">
        <f t="shared" si="43"/>
        <v>0.42404221574393364</v>
      </c>
      <c r="BX15" s="44">
        <f t="shared" si="43"/>
        <v>0.42404221574393364</v>
      </c>
      <c r="BY15" s="44">
        <f t="shared" si="43"/>
        <v>0.42404221574393364</v>
      </c>
      <c r="BZ15" s="44">
        <f t="shared" si="43"/>
        <v>0.42404221574393364</v>
      </c>
      <c r="CA15" s="44">
        <f t="shared" si="43"/>
        <v>0.42404221574393364</v>
      </c>
      <c r="CB15" s="44">
        <f t="shared" si="43"/>
        <v>0.42404221574393364</v>
      </c>
      <c r="CC15" s="44">
        <f t="shared" si="43"/>
        <v>0.42404221574393364</v>
      </c>
      <c r="CD15" s="44">
        <f t="shared" si="43"/>
        <v>0.42404221574393364</v>
      </c>
      <c r="CE15" s="44">
        <f t="shared" si="43"/>
        <v>0.42404221574393364</v>
      </c>
      <c r="CF15" s="44">
        <f t="shared" si="43"/>
        <v>0.42404221574393364</v>
      </c>
      <c r="CG15" s="44">
        <f t="shared" si="43"/>
        <v>0.42404221574393364</v>
      </c>
      <c r="CH15" s="44">
        <f t="shared" si="43"/>
        <v>0.42404221574393364</v>
      </c>
      <c r="CI15" s="44">
        <f aca="true" t="shared" si="44" ref="CI15:DN15">AD*(SIN(ACOS(((AD^2)+((CH13+DB)^2)-(AB^2))/(2*(AD)*(CH13+DB)))))</f>
        <v>0.42404221574393364</v>
      </c>
      <c r="CJ15" s="44">
        <f t="shared" si="44"/>
        <v>0.42404221574393364</v>
      </c>
      <c r="CK15" s="44">
        <f t="shared" si="44"/>
        <v>0.42404221574393364</v>
      </c>
      <c r="CL15" s="44">
        <f t="shared" si="44"/>
        <v>0.42404221574393364</v>
      </c>
      <c r="CM15" s="44">
        <f t="shared" si="44"/>
        <v>0.42404221574393364</v>
      </c>
      <c r="CN15" s="44">
        <f t="shared" si="44"/>
        <v>0.42404221574393364</v>
      </c>
      <c r="CO15" s="44">
        <f t="shared" si="44"/>
        <v>0.42404221574393364</v>
      </c>
      <c r="CP15" s="44">
        <f t="shared" si="44"/>
        <v>0.42404221574393364</v>
      </c>
      <c r="CQ15" s="44">
        <f t="shared" si="44"/>
        <v>0.42404221574393364</v>
      </c>
      <c r="CR15" s="44">
        <f t="shared" si="44"/>
        <v>0.42404221574393364</v>
      </c>
      <c r="CS15" s="44">
        <f t="shared" si="44"/>
        <v>0.42404221574393364</v>
      </c>
      <c r="CT15" s="44">
        <f t="shared" si="44"/>
        <v>0.42404221574393364</v>
      </c>
      <c r="CU15" s="44">
        <f t="shared" si="44"/>
        <v>0.42404221574393364</v>
      </c>
      <c r="CV15" s="44">
        <f t="shared" si="44"/>
        <v>0.42404221574393364</v>
      </c>
      <c r="CW15" s="44">
        <f t="shared" si="44"/>
        <v>0.42404221574393364</v>
      </c>
      <c r="CX15" s="44">
        <f t="shared" si="44"/>
        <v>0.42404221574393364</v>
      </c>
      <c r="CY15" s="44">
        <f t="shared" si="44"/>
        <v>0.42404221574393364</v>
      </c>
      <c r="CZ15" s="44">
        <f t="shared" si="44"/>
        <v>0.42404221574393364</v>
      </c>
      <c r="DA15" s="44">
        <f t="shared" si="44"/>
        <v>0.42404221574393364</v>
      </c>
      <c r="DB15" s="44">
        <f t="shared" si="44"/>
        <v>0.42404221574393364</v>
      </c>
      <c r="DC15" s="44">
        <f t="shared" si="44"/>
        <v>0.42404221574393364</v>
      </c>
      <c r="DD15" s="44">
        <f t="shared" si="44"/>
        <v>0.42404221574393364</v>
      </c>
      <c r="DE15" s="44">
        <f t="shared" si="44"/>
        <v>0.42404221574393364</v>
      </c>
      <c r="DF15" s="44">
        <f t="shared" si="44"/>
        <v>0.42404221574393364</v>
      </c>
      <c r="DG15" s="44">
        <f t="shared" si="44"/>
        <v>0.42404221574393364</v>
      </c>
      <c r="DH15" s="44">
        <f t="shared" si="44"/>
        <v>0.42404221574393364</v>
      </c>
      <c r="DI15" s="44">
        <f t="shared" si="44"/>
        <v>0.42404221574393364</v>
      </c>
      <c r="DJ15" s="44">
        <f t="shared" si="44"/>
        <v>0.42404221574393364</v>
      </c>
      <c r="DK15" s="44">
        <f t="shared" si="44"/>
        <v>0.42404221574393364</v>
      </c>
      <c r="DL15" s="44">
        <f t="shared" si="44"/>
        <v>0.42404221574393364</v>
      </c>
      <c r="DM15" s="44">
        <f t="shared" si="44"/>
        <v>0.42404221574393364</v>
      </c>
      <c r="DN15" s="44">
        <f t="shared" si="44"/>
        <v>0.42404221574393364</v>
      </c>
      <c r="DO15" s="44">
        <f aca="true" t="shared" si="45" ref="DO15:EG15">AD*(SIN(ACOS(((AD^2)+((DN13+DB)^2)-(AB^2))/(2*(AD)*(DN13+DB)))))</f>
        <v>0.42404221574393364</v>
      </c>
      <c r="DP15" s="44">
        <f t="shared" si="45"/>
        <v>0.42404221574393364</v>
      </c>
      <c r="DQ15" s="44">
        <f t="shared" si="45"/>
        <v>0.42404221574393364</v>
      </c>
      <c r="DR15" s="44">
        <f t="shared" si="45"/>
        <v>0.42404221574393364</v>
      </c>
      <c r="DS15" s="44">
        <f t="shared" si="45"/>
        <v>0.42404221574393364</v>
      </c>
      <c r="DT15" s="44">
        <f t="shared" si="45"/>
        <v>0.42404221574393364</v>
      </c>
      <c r="DU15" s="44">
        <f t="shared" si="45"/>
        <v>0.42404221574393364</v>
      </c>
      <c r="DV15" s="44">
        <f t="shared" si="45"/>
        <v>0.42404221574393364</v>
      </c>
      <c r="DW15" s="44">
        <f t="shared" si="45"/>
        <v>0.42404221574393364</v>
      </c>
      <c r="DX15" s="44">
        <f t="shared" si="45"/>
        <v>0.42404221574393364</v>
      </c>
      <c r="DY15" s="44">
        <f t="shared" si="45"/>
        <v>0.42404221574393364</v>
      </c>
      <c r="DZ15" s="44">
        <f t="shared" si="45"/>
        <v>0.42404221574393364</v>
      </c>
      <c r="EA15" s="44">
        <f t="shared" si="45"/>
        <v>0.42404221574393364</v>
      </c>
      <c r="EB15" s="44">
        <f t="shared" si="45"/>
        <v>0.42404221574393364</v>
      </c>
      <c r="EC15" s="44">
        <f t="shared" si="45"/>
        <v>0.42404221574393364</v>
      </c>
      <c r="ED15" s="44">
        <f t="shared" si="45"/>
        <v>0.42404221574393364</v>
      </c>
      <c r="EE15" s="44">
        <f t="shared" si="45"/>
        <v>0.42404221574393364</v>
      </c>
      <c r="EF15" s="44">
        <f t="shared" si="45"/>
        <v>0.42404221574393364</v>
      </c>
      <c r="EG15" s="44">
        <f t="shared" si="45"/>
        <v>0.42404221574393364</v>
      </c>
    </row>
    <row r="16" spans="1:137" s="42" customFormat="1" ht="12.75">
      <c r="A16" s="45" t="s">
        <v>133</v>
      </c>
      <c r="B16" s="44">
        <f>B8*(B17/AC)*(SIN((PI()/2)-B13))</f>
        <v>0</v>
      </c>
      <c r="C16" s="46">
        <f>C8*(B15/AC)*(SIN((PI()/2)-B14))</f>
        <v>6086.699229294865</v>
      </c>
      <c r="D16" s="46">
        <f aca="true" t="shared" si="46" ref="D16:BO16">D8*(C15/AC)*(SIN((PI()/2)-C14))</f>
        <v>5035.848045642264</v>
      </c>
      <c r="E16" s="46">
        <f t="shared" si="46"/>
        <v>4087.249979757822</v>
      </c>
      <c r="F16" s="46">
        <f t="shared" si="46"/>
        <v>3500.1758374114966</v>
      </c>
      <c r="G16" s="46">
        <f t="shared" si="46"/>
        <v>3102.2491559739824</v>
      </c>
      <c r="H16" s="46">
        <f t="shared" si="46"/>
        <v>2814.739840496243</v>
      </c>
      <c r="I16" s="46">
        <f t="shared" si="46"/>
        <v>2597.1262441606304</v>
      </c>
      <c r="J16" s="46">
        <f t="shared" si="46"/>
        <v>2426.5225494561773</v>
      </c>
      <c r="K16" s="46">
        <f t="shared" si="46"/>
        <v>2289.0422655291004</v>
      </c>
      <c r="L16" s="46">
        <f t="shared" si="46"/>
        <v>2175.7699267341363</v>
      </c>
      <c r="M16" s="46">
        <f t="shared" si="46"/>
        <v>2080.7156121757375</v>
      </c>
      <c r="N16" s="46">
        <f t="shared" si="46"/>
        <v>1999.702302249611</v>
      </c>
      <c r="O16" s="46">
        <f t="shared" si="46"/>
        <v>1929.725423098532</v>
      </c>
      <c r="P16" s="46">
        <f t="shared" si="46"/>
        <v>1868.5663635321066</v>
      </c>
      <c r="Q16" s="46">
        <f t="shared" si="46"/>
        <v>1814.549744606194</v>
      </c>
      <c r="R16" s="46">
        <f t="shared" si="46"/>
        <v>1766.3856666198928</v>
      </c>
      <c r="S16" s="46">
        <f t="shared" si="46"/>
        <v>1723.0641024190347</v>
      </c>
      <c r="T16" s="46">
        <f t="shared" si="46"/>
        <v>1683.7823471200911</v>
      </c>
      <c r="U16" s="46">
        <f t="shared" si="46"/>
        <v>1647.8940286878624</v>
      </c>
      <c r="V16" s="46">
        <f t="shared" si="46"/>
        <v>1614.8725402671437</v>
      </c>
      <c r="W16" s="46">
        <f t="shared" si="46"/>
        <v>1584.2843378213531</v>
      </c>
      <c r="X16" s="46">
        <f t="shared" si="46"/>
        <v>1555.7691231544775</v>
      </c>
      <c r="Y16" s="46">
        <f t="shared" si="46"/>
        <v>1529.0249202692253</v>
      </c>
      <c r="Z16" s="46">
        <f t="shared" si="46"/>
        <v>1503.7966867916855</v>
      </c>
      <c r="AA16" s="46">
        <f t="shared" si="46"/>
        <v>1479.867517556949</v>
      </c>
      <c r="AB16" s="46">
        <f t="shared" si="46"/>
        <v>1457.0517749974451</v>
      </c>
      <c r="AC16" s="46">
        <f t="shared" si="46"/>
        <v>1435.1896697443563</v>
      </c>
      <c r="AD16" s="46">
        <f t="shared" si="46"/>
        <v>1414.1429453387852</v>
      </c>
      <c r="AE16" s="46">
        <f t="shared" si="46"/>
        <v>1393.7914125039863</v>
      </c>
      <c r="AF16" s="46">
        <f t="shared" si="46"/>
        <v>1374.0301435590209</v>
      </c>
      <c r="AG16" s="46">
        <f t="shared" si="46"/>
        <v>1354.767184479538</v>
      </c>
      <c r="AH16" s="46">
        <f t="shared" si="46"/>
        <v>1335.9216763231996</v>
      </c>
      <c r="AI16" s="46">
        <f t="shared" si="46"/>
        <v>1317.422302956797</v>
      </c>
      <c r="AJ16" s="46">
        <f t="shared" si="46"/>
        <v>1325.7516795159447</v>
      </c>
      <c r="AK16" s="46">
        <f t="shared" si="46"/>
        <v>1551.574193625769</v>
      </c>
      <c r="AL16" s="46">
        <f t="shared" si="46"/>
        <v>1596.5840902489992</v>
      </c>
      <c r="AM16" s="46">
        <f t="shared" si="46"/>
        <v>1641.593986872229</v>
      </c>
      <c r="AN16" s="46">
        <f t="shared" si="46"/>
        <v>1686.603883495459</v>
      </c>
      <c r="AO16" s="46">
        <f t="shared" si="46"/>
        <v>1731.6137801186894</v>
      </c>
      <c r="AP16" s="46">
        <f t="shared" si="46"/>
        <v>1776.623676741919</v>
      </c>
      <c r="AQ16" s="46">
        <f t="shared" si="46"/>
        <v>1821.6335733651492</v>
      </c>
      <c r="AR16" s="46">
        <f t="shared" si="46"/>
        <v>1866.6434699883796</v>
      </c>
      <c r="AS16" s="46">
        <f t="shared" si="46"/>
        <v>1911.6533666116095</v>
      </c>
      <c r="AT16" s="46">
        <f t="shared" si="46"/>
        <v>1956.6632632348396</v>
      </c>
      <c r="AU16" s="46">
        <f t="shared" si="46"/>
        <v>2001.6731598580695</v>
      </c>
      <c r="AV16" s="46">
        <f t="shared" si="46"/>
        <v>2046.6830564812994</v>
      </c>
      <c r="AW16" s="46">
        <f t="shared" si="46"/>
        <v>2091.692953104529</v>
      </c>
      <c r="AX16" s="46">
        <f t="shared" si="46"/>
        <v>2136.702849727759</v>
      </c>
      <c r="AY16" s="46">
        <f t="shared" si="46"/>
        <v>2181.712746350989</v>
      </c>
      <c r="AZ16" s="46">
        <f t="shared" si="46"/>
        <v>2226.722642974219</v>
      </c>
      <c r="BA16" s="46">
        <f t="shared" si="46"/>
        <v>2271.732539597448</v>
      </c>
      <c r="BB16" s="46">
        <f t="shared" si="46"/>
        <v>2316.742436220679</v>
      </c>
      <c r="BC16" s="46">
        <f t="shared" si="46"/>
        <v>2361.752332843909</v>
      </c>
      <c r="BD16" s="46">
        <f t="shared" si="46"/>
        <v>2406.762229467139</v>
      </c>
      <c r="BE16" s="46">
        <f t="shared" si="46"/>
        <v>2451.772126090368</v>
      </c>
      <c r="BF16" s="46">
        <f t="shared" si="46"/>
        <v>2496.782022713598</v>
      </c>
      <c r="BG16" s="46">
        <f t="shared" si="46"/>
        <v>2541.791919336829</v>
      </c>
      <c r="BH16" s="46">
        <f t="shared" si="46"/>
        <v>2586.8018159600583</v>
      </c>
      <c r="BI16" s="46">
        <f t="shared" si="46"/>
        <v>2631.811712583288</v>
      </c>
      <c r="BJ16" s="46">
        <f t="shared" si="46"/>
        <v>2676.8216092065186</v>
      </c>
      <c r="BK16" s="46">
        <f t="shared" si="46"/>
        <v>2721.8315058297485</v>
      </c>
      <c r="BL16" s="46">
        <f t="shared" si="46"/>
        <v>2766.841402452978</v>
      </c>
      <c r="BM16" s="46">
        <f t="shared" si="46"/>
        <v>2811.8512990762088</v>
      </c>
      <c r="BN16" s="46">
        <f t="shared" si="46"/>
        <v>2856.8611956994373</v>
      </c>
      <c r="BO16" s="46">
        <f t="shared" si="46"/>
        <v>2901.8710923226686</v>
      </c>
      <c r="BP16" s="46">
        <f aca="true" t="shared" si="47" ref="BP16:CH16">BP8*(BO15/AC)*(SIN((PI()/2)-BO14))</f>
        <v>2946.8809889458976</v>
      </c>
      <c r="BQ16" s="46">
        <f t="shared" si="47"/>
        <v>2991.8908855691275</v>
      </c>
      <c r="BR16" s="46">
        <f t="shared" si="47"/>
        <v>3036.9007821923574</v>
      </c>
      <c r="BS16" s="46">
        <f t="shared" si="47"/>
        <v>3081.9106788155877</v>
      </c>
      <c r="BT16" s="46">
        <f t="shared" si="47"/>
        <v>3126.9205754388177</v>
      </c>
      <c r="BU16" s="46">
        <f t="shared" si="47"/>
        <v>3171.930472062047</v>
      </c>
      <c r="BV16" s="46">
        <f t="shared" si="47"/>
        <v>3216.9403686852775</v>
      </c>
      <c r="BW16" s="46">
        <f t="shared" si="47"/>
        <v>3261.9502653085074</v>
      </c>
      <c r="BX16" s="46">
        <f t="shared" si="47"/>
        <v>3281.8062216260037</v>
      </c>
      <c r="BY16" s="46">
        <f t="shared" si="47"/>
        <v>3296.2001085629604</v>
      </c>
      <c r="BZ16" s="46">
        <f t="shared" si="47"/>
        <v>3310.5939954999167</v>
      </c>
      <c r="CA16" s="46">
        <f t="shared" si="47"/>
        <v>3324.987882436872</v>
      </c>
      <c r="CB16" s="46">
        <f t="shared" si="47"/>
        <v>3339.3817693738292</v>
      </c>
      <c r="CC16" s="46">
        <f t="shared" si="47"/>
        <v>3353.7756563107846</v>
      </c>
      <c r="CD16" s="46">
        <f t="shared" si="47"/>
        <v>3368.169543247742</v>
      </c>
      <c r="CE16" s="46">
        <f t="shared" si="47"/>
        <v>3382.5634301846967</v>
      </c>
      <c r="CF16" s="46">
        <f t="shared" si="47"/>
        <v>3396.9573171216525</v>
      </c>
      <c r="CG16" s="46">
        <f t="shared" si="47"/>
        <v>3411.35120405861</v>
      </c>
      <c r="CH16" s="46">
        <f t="shared" si="47"/>
        <v>3425.745090995566</v>
      </c>
      <c r="CI16" s="46">
        <f aca="true" t="shared" si="48" ref="CI16:DN16">CI8*(CH15/AC)*(SIN((PI()/2)-CH14))</f>
        <v>3440.138977932522</v>
      </c>
      <c r="CJ16" s="46">
        <f t="shared" si="48"/>
        <v>3454.5328648694767</v>
      </c>
      <c r="CK16" s="46">
        <f t="shared" si="48"/>
        <v>3468.9267518064335</v>
      </c>
      <c r="CL16" s="46">
        <f t="shared" si="48"/>
        <v>3483.3206387433897</v>
      </c>
      <c r="CM16" s="46">
        <f t="shared" si="48"/>
        <v>3497.714525680346</v>
      </c>
      <c r="CN16" s="46">
        <f t="shared" si="48"/>
        <v>3512.1084126173023</v>
      </c>
      <c r="CO16" s="46">
        <f t="shared" si="48"/>
        <v>3526.502299554258</v>
      </c>
      <c r="CP16" s="46">
        <f t="shared" si="48"/>
        <v>3540.896186491215</v>
      </c>
      <c r="CQ16" s="46">
        <f t="shared" si="48"/>
        <v>3555.29007342817</v>
      </c>
      <c r="CR16" s="46">
        <f t="shared" si="48"/>
        <v>3569.683960365126</v>
      </c>
      <c r="CS16" s="46">
        <f t="shared" si="48"/>
        <v>3584.077847302082</v>
      </c>
      <c r="CT16" s="46">
        <f t="shared" si="48"/>
        <v>3598.4717342390386</v>
      </c>
      <c r="CU16" s="46">
        <f t="shared" si="48"/>
        <v>3612.8656211759953</v>
      </c>
      <c r="CV16" s="46">
        <f t="shared" si="48"/>
        <v>3627.259508112951</v>
      </c>
      <c r="CW16" s="46">
        <f t="shared" si="48"/>
        <v>3641.6533950499083</v>
      </c>
      <c r="CX16" s="46">
        <f t="shared" si="48"/>
        <v>3656.0472819868633</v>
      </c>
      <c r="CY16" s="46">
        <f t="shared" si="48"/>
        <v>3670.4411689238195</v>
      </c>
      <c r="CZ16" s="46">
        <f t="shared" si="48"/>
        <v>3684.835055860776</v>
      </c>
      <c r="DA16" s="46">
        <f t="shared" si="48"/>
        <v>3699.2289427977316</v>
      </c>
      <c r="DB16" s="46">
        <f t="shared" si="48"/>
        <v>3713.6228297346875</v>
      </c>
      <c r="DC16" s="46">
        <f t="shared" si="48"/>
        <v>3728.0167166716433</v>
      </c>
      <c r="DD16" s="46">
        <f t="shared" si="48"/>
        <v>3742.410603608601</v>
      </c>
      <c r="DE16" s="46">
        <f t="shared" si="48"/>
        <v>3756.804490545556</v>
      </c>
      <c r="DF16" s="46">
        <f t="shared" si="48"/>
        <v>3771.1983774825126</v>
      </c>
      <c r="DG16" s="46">
        <f t="shared" si="48"/>
        <v>3785.5922644194684</v>
      </c>
      <c r="DH16" s="46">
        <f t="shared" si="48"/>
        <v>3799.9861513564238</v>
      </c>
      <c r="DI16" s="46">
        <f t="shared" si="48"/>
        <v>3814.38003829338</v>
      </c>
      <c r="DJ16" s="46">
        <f t="shared" si="48"/>
        <v>3828.7739252303368</v>
      </c>
      <c r="DK16" s="46">
        <f t="shared" si="48"/>
        <v>3843.167812167293</v>
      </c>
      <c r="DL16" s="46">
        <f t="shared" si="48"/>
        <v>3857.5616991042484</v>
      </c>
      <c r="DM16" s="46">
        <f t="shared" si="48"/>
        <v>3871.9555860412042</v>
      </c>
      <c r="DN16" s="46">
        <f t="shared" si="48"/>
        <v>3886.349472978161</v>
      </c>
      <c r="DO16" s="46">
        <f aca="true" t="shared" si="49" ref="DO16:EG16">DO8*(DN15/AC)*(SIN((PI()/2)-DN14))</f>
        <v>3900.7433599151177</v>
      </c>
      <c r="DP16" s="46">
        <f t="shared" si="49"/>
        <v>3915.137246852073</v>
      </c>
      <c r="DQ16" s="46">
        <f t="shared" si="49"/>
        <v>3929.531133789029</v>
      </c>
      <c r="DR16" s="46">
        <f t="shared" si="49"/>
        <v>3943.9250207259856</v>
      </c>
      <c r="DS16" s="46">
        <f t="shared" si="49"/>
        <v>3958.3189076629424</v>
      </c>
      <c r="DT16" s="46">
        <f t="shared" si="49"/>
        <v>3972.7127945998973</v>
      </c>
      <c r="DU16" s="46">
        <f t="shared" si="49"/>
        <v>3987.106681536854</v>
      </c>
      <c r="DV16" s="46">
        <f t="shared" si="49"/>
        <v>4001.5005684738107</v>
      </c>
      <c r="DW16" s="46">
        <f t="shared" si="49"/>
        <v>4015.894455410765</v>
      </c>
      <c r="DX16" s="46">
        <f t="shared" si="49"/>
        <v>4030.2883423477215</v>
      </c>
      <c r="DY16" s="46">
        <f t="shared" si="49"/>
        <v>4044.6822292846778</v>
      </c>
      <c r="DZ16" s="46">
        <f t="shared" si="49"/>
        <v>4059.0761162216345</v>
      </c>
      <c r="EA16" s="46">
        <f t="shared" si="49"/>
        <v>4073.4700031585894</v>
      </c>
      <c r="EB16" s="46">
        <f t="shared" si="49"/>
        <v>4087.863890095546</v>
      </c>
      <c r="EC16" s="46">
        <f t="shared" si="49"/>
        <v>4102.257777032502</v>
      </c>
      <c r="ED16" s="46">
        <f t="shared" si="49"/>
        <v>4116.65166396946</v>
      </c>
      <c r="EE16" s="46">
        <f t="shared" si="49"/>
        <v>4131.045550906414</v>
      </c>
      <c r="EF16" s="46">
        <f t="shared" si="49"/>
        <v>4145.43943784337</v>
      </c>
      <c r="EG16" s="46">
        <f t="shared" si="49"/>
        <v>4159.833324780328</v>
      </c>
    </row>
    <row r="17" spans="1:137" s="42" customFormat="1" ht="12.75">
      <c r="A17" s="45" t="s">
        <v>138</v>
      </c>
      <c r="B17" s="44">
        <v>0</v>
      </c>
      <c r="C17" s="44">
        <f>IF(B13=C13,0,PQ)</f>
        <v>0.5</v>
      </c>
      <c r="D17" s="44">
        <f aca="true" t="shared" si="50" ref="D17:BO17">IF(C13=D13,0,PQ)</f>
        <v>0.5</v>
      </c>
      <c r="E17" s="44">
        <f t="shared" si="50"/>
        <v>0.5</v>
      </c>
      <c r="F17" s="44">
        <f t="shared" si="50"/>
        <v>0.5</v>
      </c>
      <c r="G17" s="44">
        <f t="shared" si="50"/>
        <v>0.5</v>
      </c>
      <c r="H17" s="44">
        <f t="shared" si="50"/>
        <v>0.5</v>
      </c>
      <c r="I17" s="44">
        <f t="shared" si="50"/>
        <v>0.5</v>
      </c>
      <c r="J17" s="44">
        <f t="shared" si="50"/>
        <v>0.5</v>
      </c>
      <c r="K17" s="44">
        <f t="shared" si="50"/>
        <v>0.5</v>
      </c>
      <c r="L17" s="44">
        <f t="shared" si="50"/>
        <v>0.5</v>
      </c>
      <c r="M17" s="44">
        <f t="shared" si="50"/>
        <v>0.5</v>
      </c>
      <c r="N17" s="44">
        <f t="shared" si="50"/>
        <v>0.5</v>
      </c>
      <c r="O17" s="44">
        <f t="shared" si="50"/>
        <v>0.5</v>
      </c>
      <c r="P17" s="44">
        <f t="shared" si="50"/>
        <v>0.5</v>
      </c>
      <c r="Q17" s="44">
        <f t="shared" si="50"/>
        <v>0.5</v>
      </c>
      <c r="R17" s="44">
        <f t="shared" si="50"/>
        <v>0.5</v>
      </c>
      <c r="S17" s="44">
        <f t="shared" si="50"/>
        <v>0.5</v>
      </c>
      <c r="T17" s="44">
        <f t="shared" si="50"/>
        <v>0.5</v>
      </c>
      <c r="U17" s="44">
        <f t="shared" si="50"/>
        <v>0.5</v>
      </c>
      <c r="V17" s="44">
        <f t="shared" si="50"/>
        <v>0.5</v>
      </c>
      <c r="W17" s="44">
        <f t="shared" si="50"/>
        <v>0.5</v>
      </c>
      <c r="X17" s="44">
        <f t="shared" si="50"/>
        <v>0.5</v>
      </c>
      <c r="Y17" s="44">
        <f t="shared" si="50"/>
        <v>0.5</v>
      </c>
      <c r="Z17" s="44">
        <f t="shared" si="50"/>
        <v>0.5</v>
      </c>
      <c r="AA17" s="44">
        <f t="shared" si="50"/>
        <v>0.5</v>
      </c>
      <c r="AB17" s="44">
        <f t="shared" si="50"/>
        <v>0.5</v>
      </c>
      <c r="AC17" s="44">
        <f t="shared" si="50"/>
        <v>0.5</v>
      </c>
      <c r="AD17" s="44">
        <f t="shared" si="50"/>
        <v>0.5</v>
      </c>
      <c r="AE17" s="44">
        <f t="shared" si="50"/>
        <v>0.5</v>
      </c>
      <c r="AF17" s="44">
        <f t="shared" si="50"/>
        <v>0.5</v>
      </c>
      <c r="AG17" s="44">
        <f t="shared" si="50"/>
        <v>0.5</v>
      </c>
      <c r="AH17" s="44">
        <f t="shared" si="50"/>
        <v>0.5</v>
      </c>
      <c r="AI17" s="44">
        <f t="shared" si="50"/>
        <v>0.5</v>
      </c>
      <c r="AJ17" s="44">
        <f t="shared" si="50"/>
        <v>0</v>
      </c>
      <c r="AK17" s="44">
        <f t="shared" si="50"/>
        <v>0</v>
      </c>
      <c r="AL17" s="44">
        <f t="shared" si="50"/>
        <v>0</v>
      </c>
      <c r="AM17" s="44">
        <f t="shared" si="50"/>
        <v>0</v>
      </c>
      <c r="AN17" s="44">
        <f t="shared" si="50"/>
        <v>0</v>
      </c>
      <c r="AO17" s="44">
        <f t="shared" si="50"/>
        <v>0</v>
      </c>
      <c r="AP17" s="44">
        <f t="shared" si="50"/>
        <v>0</v>
      </c>
      <c r="AQ17" s="44">
        <f t="shared" si="50"/>
        <v>0</v>
      </c>
      <c r="AR17" s="44">
        <f t="shared" si="50"/>
        <v>0</v>
      </c>
      <c r="AS17" s="44">
        <f t="shared" si="50"/>
        <v>0</v>
      </c>
      <c r="AT17" s="44">
        <f t="shared" si="50"/>
        <v>0</v>
      </c>
      <c r="AU17" s="44">
        <f t="shared" si="50"/>
        <v>0</v>
      </c>
      <c r="AV17" s="44">
        <f t="shared" si="50"/>
        <v>0</v>
      </c>
      <c r="AW17" s="44">
        <f t="shared" si="50"/>
        <v>0</v>
      </c>
      <c r="AX17" s="44">
        <f t="shared" si="50"/>
        <v>0</v>
      </c>
      <c r="AY17" s="44">
        <f t="shared" si="50"/>
        <v>0</v>
      </c>
      <c r="AZ17" s="44">
        <f t="shared" si="50"/>
        <v>0</v>
      </c>
      <c r="BA17" s="44">
        <f t="shared" si="50"/>
        <v>0</v>
      </c>
      <c r="BB17" s="44">
        <f t="shared" si="50"/>
        <v>0</v>
      </c>
      <c r="BC17" s="44">
        <f t="shared" si="50"/>
        <v>0</v>
      </c>
      <c r="BD17" s="44">
        <f t="shared" si="50"/>
        <v>0</v>
      </c>
      <c r="BE17" s="44">
        <f t="shared" si="50"/>
        <v>0</v>
      </c>
      <c r="BF17" s="44">
        <f t="shared" si="50"/>
        <v>0</v>
      </c>
      <c r="BG17" s="44">
        <f t="shared" si="50"/>
        <v>0</v>
      </c>
      <c r="BH17" s="44">
        <f t="shared" si="50"/>
        <v>0</v>
      </c>
      <c r="BI17" s="44">
        <f t="shared" si="50"/>
        <v>0</v>
      </c>
      <c r="BJ17" s="44">
        <f t="shared" si="50"/>
        <v>0</v>
      </c>
      <c r="BK17" s="44">
        <f t="shared" si="50"/>
        <v>0</v>
      </c>
      <c r="BL17" s="44">
        <f t="shared" si="50"/>
        <v>0</v>
      </c>
      <c r="BM17" s="44">
        <f t="shared" si="50"/>
        <v>0</v>
      </c>
      <c r="BN17" s="44">
        <f t="shared" si="50"/>
        <v>0</v>
      </c>
      <c r="BO17" s="44">
        <f t="shared" si="50"/>
        <v>0</v>
      </c>
      <c r="BP17" s="44">
        <f aca="true" t="shared" si="51" ref="BP17:EA17">IF(BO13=BP13,0,PQ)</f>
        <v>0</v>
      </c>
      <c r="BQ17" s="44">
        <f t="shared" si="51"/>
        <v>0</v>
      </c>
      <c r="BR17" s="44">
        <f t="shared" si="51"/>
        <v>0</v>
      </c>
      <c r="BS17" s="44">
        <f t="shared" si="51"/>
        <v>0</v>
      </c>
      <c r="BT17" s="44">
        <f t="shared" si="51"/>
        <v>0</v>
      </c>
      <c r="BU17" s="44">
        <f t="shared" si="51"/>
        <v>0</v>
      </c>
      <c r="BV17" s="44">
        <f t="shared" si="51"/>
        <v>0</v>
      </c>
      <c r="BW17" s="44">
        <f t="shared" si="51"/>
        <v>0</v>
      </c>
      <c r="BX17" s="44">
        <f t="shared" si="51"/>
        <v>0</v>
      </c>
      <c r="BY17" s="44">
        <f t="shared" si="51"/>
        <v>0</v>
      </c>
      <c r="BZ17" s="44">
        <f t="shared" si="51"/>
        <v>0</v>
      </c>
      <c r="CA17" s="44">
        <f t="shared" si="51"/>
        <v>0</v>
      </c>
      <c r="CB17" s="44">
        <f t="shared" si="51"/>
        <v>0</v>
      </c>
      <c r="CC17" s="44">
        <f t="shared" si="51"/>
        <v>0</v>
      </c>
      <c r="CD17" s="44">
        <f t="shared" si="51"/>
        <v>0</v>
      </c>
      <c r="CE17" s="44">
        <f t="shared" si="51"/>
        <v>0</v>
      </c>
      <c r="CF17" s="44">
        <f t="shared" si="51"/>
        <v>0</v>
      </c>
      <c r="CG17" s="44">
        <f t="shared" si="51"/>
        <v>0</v>
      </c>
      <c r="CH17" s="44">
        <f t="shared" si="51"/>
        <v>0</v>
      </c>
      <c r="CI17" s="44">
        <f t="shared" si="51"/>
        <v>0</v>
      </c>
      <c r="CJ17" s="44">
        <f t="shared" si="51"/>
        <v>0</v>
      </c>
      <c r="CK17" s="44">
        <f t="shared" si="51"/>
        <v>0</v>
      </c>
      <c r="CL17" s="44">
        <f t="shared" si="51"/>
        <v>0</v>
      </c>
      <c r="CM17" s="44">
        <f t="shared" si="51"/>
        <v>0</v>
      </c>
      <c r="CN17" s="44">
        <f t="shared" si="51"/>
        <v>0</v>
      </c>
      <c r="CO17" s="44">
        <f t="shared" si="51"/>
        <v>0</v>
      </c>
      <c r="CP17" s="44">
        <f t="shared" si="51"/>
        <v>0</v>
      </c>
      <c r="CQ17" s="44">
        <f t="shared" si="51"/>
        <v>0</v>
      </c>
      <c r="CR17" s="44">
        <f t="shared" si="51"/>
        <v>0</v>
      </c>
      <c r="CS17" s="44">
        <f t="shared" si="51"/>
        <v>0</v>
      </c>
      <c r="CT17" s="44">
        <f t="shared" si="51"/>
        <v>0</v>
      </c>
      <c r="CU17" s="44">
        <f t="shared" si="51"/>
        <v>0</v>
      </c>
      <c r="CV17" s="44">
        <f t="shared" si="51"/>
        <v>0</v>
      </c>
      <c r="CW17" s="44">
        <f t="shared" si="51"/>
        <v>0</v>
      </c>
      <c r="CX17" s="44">
        <f t="shared" si="51"/>
        <v>0</v>
      </c>
      <c r="CY17" s="44">
        <f t="shared" si="51"/>
        <v>0</v>
      </c>
      <c r="CZ17" s="44">
        <f t="shared" si="51"/>
        <v>0</v>
      </c>
      <c r="DA17" s="44">
        <f t="shared" si="51"/>
        <v>0</v>
      </c>
      <c r="DB17" s="44">
        <f t="shared" si="51"/>
        <v>0</v>
      </c>
      <c r="DC17" s="44">
        <f t="shared" si="51"/>
        <v>0</v>
      </c>
      <c r="DD17" s="44">
        <f t="shared" si="51"/>
        <v>0</v>
      </c>
      <c r="DE17" s="44">
        <f t="shared" si="51"/>
        <v>0</v>
      </c>
      <c r="DF17" s="44">
        <f t="shared" si="51"/>
        <v>0</v>
      </c>
      <c r="DG17" s="44">
        <f t="shared" si="51"/>
        <v>0</v>
      </c>
      <c r="DH17" s="44">
        <f t="shared" si="51"/>
        <v>0</v>
      </c>
      <c r="DI17" s="44">
        <f t="shared" si="51"/>
        <v>0</v>
      </c>
      <c r="DJ17" s="44">
        <f t="shared" si="51"/>
        <v>0</v>
      </c>
      <c r="DK17" s="44">
        <f t="shared" si="51"/>
        <v>0</v>
      </c>
      <c r="DL17" s="44">
        <f t="shared" si="51"/>
        <v>0</v>
      </c>
      <c r="DM17" s="44">
        <f t="shared" si="51"/>
        <v>0</v>
      </c>
      <c r="DN17" s="44">
        <f t="shared" si="51"/>
        <v>0</v>
      </c>
      <c r="DO17" s="44">
        <f t="shared" si="51"/>
        <v>0</v>
      </c>
      <c r="DP17" s="44">
        <f t="shared" si="51"/>
        <v>0</v>
      </c>
      <c r="DQ17" s="44">
        <f t="shared" si="51"/>
        <v>0</v>
      </c>
      <c r="DR17" s="44">
        <f t="shared" si="51"/>
        <v>0</v>
      </c>
      <c r="DS17" s="44">
        <f t="shared" si="51"/>
        <v>0</v>
      </c>
      <c r="DT17" s="44">
        <f t="shared" si="51"/>
        <v>0</v>
      </c>
      <c r="DU17" s="44">
        <f t="shared" si="51"/>
        <v>0</v>
      </c>
      <c r="DV17" s="44">
        <f t="shared" si="51"/>
        <v>0</v>
      </c>
      <c r="DW17" s="44">
        <f t="shared" si="51"/>
        <v>0</v>
      </c>
      <c r="DX17" s="44">
        <f t="shared" si="51"/>
        <v>0</v>
      </c>
      <c r="DY17" s="44">
        <f t="shared" si="51"/>
        <v>0</v>
      </c>
      <c r="DZ17" s="44">
        <f t="shared" si="51"/>
        <v>0</v>
      </c>
      <c r="EA17" s="44">
        <f t="shared" si="51"/>
        <v>0</v>
      </c>
      <c r="EB17" s="44">
        <f aca="true" t="shared" si="52" ref="EB17:EG17">IF(EA13=EB13,0,PQ)</f>
        <v>0</v>
      </c>
      <c r="EC17" s="44">
        <f t="shared" si="52"/>
        <v>0</v>
      </c>
      <c r="ED17" s="44">
        <f t="shared" si="52"/>
        <v>0</v>
      </c>
      <c r="EE17" s="44">
        <f t="shared" si="52"/>
        <v>0</v>
      </c>
      <c r="EF17" s="44">
        <f t="shared" si="52"/>
        <v>0</v>
      </c>
      <c r="EG17" s="44">
        <f t="shared" si="52"/>
        <v>0</v>
      </c>
    </row>
    <row r="18" spans="1:137" s="42" customFormat="1" ht="12.75">
      <c r="A18" s="4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row>
    <row r="19" spans="1:137" ht="12.75">
      <c r="A19" t="s">
        <v>23</v>
      </c>
      <c r="B19">
        <f aca="true" t="shared" si="53" ref="B19:BM19">IF(B10=B11,0,1)</f>
        <v>0</v>
      </c>
      <c r="C19">
        <f>IF(C10=C11,0,1)</f>
        <v>0</v>
      </c>
      <c r="D19">
        <f t="shared" si="53"/>
        <v>0</v>
      </c>
      <c r="E19">
        <f t="shared" si="53"/>
        <v>0</v>
      </c>
      <c r="F19">
        <f t="shared" si="53"/>
        <v>0</v>
      </c>
      <c r="G19">
        <f t="shared" si="53"/>
        <v>0</v>
      </c>
      <c r="H19">
        <f t="shared" si="53"/>
        <v>0</v>
      </c>
      <c r="I19">
        <f t="shared" si="53"/>
        <v>0</v>
      </c>
      <c r="J19">
        <f t="shared" si="53"/>
        <v>0</v>
      </c>
      <c r="K19">
        <f t="shared" si="53"/>
        <v>0</v>
      </c>
      <c r="L19">
        <f t="shared" si="53"/>
        <v>0</v>
      </c>
      <c r="M19">
        <f t="shared" si="53"/>
        <v>0</v>
      </c>
      <c r="N19">
        <f t="shared" si="53"/>
        <v>0</v>
      </c>
      <c r="O19">
        <f t="shared" si="53"/>
        <v>0</v>
      </c>
      <c r="P19">
        <f t="shared" si="53"/>
        <v>0</v>
      </c>
      <c r="Q19">
        <f t="shared" si="53"/>
        <v>0</v>
      </c>
      <c r="R19">
        <f t="shared" si="53"/>
        <v>0</v>
      </c>
      <c r="S19">
        <f t="shared" si="53"/>
        <v>0</v>
      </c>
      <c r="T19">
        <f t="shared" si="53"/>
        <v>0</v>
      </c>
      <c r="U19">
        <f t="shared" si="53"/>
        <v>0</v>
      </c>
      <c r="V19">
        <f t="shared" si="53"/>
        <v>0</v>
      </c>
      <c r="W19">
        <f t="shared" si="53"/>
        <v>0</v>
      </c>
      <c r="X19">
        <f t="shared" si="53"/>
        <v>0</v>
      </c>
      <c r="Y19">
        <f t="shared" si="53"/>
        <v>0</v>
      </c>
      <c r="Z19">
        <f t="shared" si="53"/>
        <v>0</v>
      </c>
      <c r="AA19">
        <f t="shared" si="53"/>
        <v>0</v>
      </c>
      <c r="AB19">
        <f t="shared" si="53"/>
        <v>0</v>
      </c>
      <c r="AC19">
        <f t="shared" si="53"/>
        <v>0</v>
      </c>
      <c r="AD19">
        <f t="shared" si="53"/>
        <v>0</v>
      </c>
      <c r="AE19">
        <f t="shared" si="53"/>
        <v>0</v>
      </c>
      <c r="AF19">
        <f t="shared" si="53"/>
        <v>0</v>
      </c>
      <c r="AG19">
        <f t="shared" si="53"/>
        <v>0</v>
      </c>
      <c r="AH19">
        <f t="shared" si="53"/>
        <v>0</v>
      </c>
      <c r="AI19">
        <f t="shared" si="53"/>
        <v>1</v>
      </c>
      <c r="AJ19">
        <f t="shared" si="53"/>
        <v>1</v>
      </c>
      <c r="AK19">
        <f t="shared" si="53"/>
        <v>1</v>
      </c>
      <c r="AL19">
        <f t="shared" si="53"/>
        <v>1</v>
      </c>
      <c r="AM19">
        <f t="shared" si="53"/>
        <v>1</v>
      </c>
      <c r="AN19">
        <f t="shared" si="53"/>
        <v>1</v>
      </c>
      <c r="AO19">
        <f t="shared" si="53"/>
        <v>1</v>
      </c>
      <c r="AP19">
        <f t="shared" si="53"/>
        <v>1</v>
      </c>
      <c r="AQ19">
        <f t="shared" si="53"/>
        <v>1</v>
      </c>
      <c r="AR19">
        <f t="shared" si="53"/>
        <v>1</v>
      </c>
      <c r="AS19">
        <f t="shared" si="53"/>
        <v>1</v>
      </c>
      <c r="AT19">
        <f t="shared" si="53"/>
        <v>1</v>
      </c>
      <c r="AU19">
        <f t="shared" si="53"/>
        <v>1</v>
      </c>
      <c r="AV19">
        <f t="shared" si="53"/>
        <v>1</v>
      </c>
      <c r="AW19">
        <f t="shared" si="53"/>
        <v>1</v>
      </c>
      <c r="AX19">
        <f t="shared" si="53"/>
        <v>1</v>
      </c>
      <c r="AY19">
        <f t="shared" si="53"/>
        <v>1</v>
      </c>
      <c r="AZ19">
        <f t="shared" si="53"/>
        <v>1</v>
      </c>
      <c r="BA19">
        <f t="shared" si="53"/>
        <v>1</v>
      </c>
      <c r="BB19">
        <f t="shared" si="53"/>
        <v>1</v>
      </c>
      <c r="BC19">
        <f t="shared" si="53"/>
        <v>1</v>
      </c>
      <c r="BD19">
        <f t="shared" si="53"/>
        <v>1</v>
      </c>
      <c r="BE19">
        <f t="shared" si="53"/>
        <v>1</v>
      </c>
      <c r="BF19">
        <f t="shared" si="53"/>
        <v>1</v>
      </c>
      <c r="BG19">
        <f t="shared" si="53"/>
        <v>1</v>
      </c>
      <c r="BH19">
        <f t="shared" si="53"/>
        <v>1</v>
      </c>
      <c r="BI19">
        <f t="shared" si="53"/>
        <v>1</v>
      </c>
      <c r="BJ19">
        <f t="shared" si="53"/>
        <v>1</v>
      </c>
      <c r="BK19">
        <f t="shared" si="53"/>
        <v>1</v>
      </c>
      <c r="BL19">
        <f t="shared" si="53"/>
        <v>1</v>
      </c>
      <c r="BM19">
        <f t="shared" si="53"/>
        <v>1</v>
      </c>
      <c r="BN19">
        <f aca="true" t="shared" si="54" ref="BN19:CH19">IF(BN10=BN11,0,1)</f>
        <v>1</v>
      </c>
      <c r="BO19">
        <f t="shared" si="54"/>
        <v>1</v>
      </c>
      <c r="BP19">
        <f t="shared" si="54"/>
        <v>1</v>
      </c>
      <c r="BQ19">
        <f t="shared" si="54"/>
        <v>1</v>
      </c>
      <c r="BR19">
        <f t="shared" si="54"/>
        <v>1</v>
      </c>
      <c r="BS19">
        <f t="shared" si="54"/>
        <v>1</v>
      </c>
      <c r="BT19">
        <f t="shared" si="54"/>
        <v>1</v>
      </c>
      <c r="BU19">
        <f t="shared" si="54"/>
        <v>1</v>
      </c>
      <c r="BV19">
        <f t="shared" si="54"/>
        <v>1</v>
      </c>
      <c r="BW19">
        <f t="shared" si="54"/>
        <v>1</v>
      </c>
      <c r="BX19">
        <f t="shared" si="54"/>
        <v>1</v>
      </c>
      <c r="BY19">
        <f t="shared" si="54"/>
        <v>1</v>
      </c>
      <c r="BZ19">
        <f t="shared" si="54"/>
        <v>1</v>
      </c>
      <c r="CA19">
        <f t="shared" si="54"/>
        <v>1</v>
      </c>
      <c r="CB19">
        <f t="shared" si="54"/>
        <v>1</v>
      </c>
      <c r="CC19">
        <f t="shared" si="54"/>
        <v>1</v>
      </c>
      <c r="CD19">
        <f t="shared" si="54"/>
        <v>1</v>
      </c>
      <c r="CE19">
        <f t="shared" si="54"/>
        <v>1</v>
      </c>
      <c r="CF19">
        <f t="shared" si="54"/>
        <v>1</v>
      </c>
      <c r="CG19">
        <f t="shared" si="54"/>
        <v>1</v>
      </c>
      <c r="CH19">
        <f t="shared" si="54"/>
        <v>1</v>
      </c>
      <c r="CI19">
        <f aca="true" t="shared" si="55" ref="CI19:CY19">IF(CI10=CI11,0,1)</f>
        <v>1</v>
      </c>
      <c r="CJ19">
        <f t="shared" si="55"/>
        <v>1</v>
      </c>
      <c r="CK19">
        <f t="shared" si="55"/>
        <v>1</v>
      </c>
      <c r="CL19">
        <f t="shared" si="55"/>
        <v>1</v>
      </c>
      <c r="CM19">
        <f t="shared" si="55"/>
        <v>1</v>
      </c>
      <c r="CN19">
        <f t="shared" si="55"/>
        <v>1</v>
      </c>
      <c r="CO19">
        <f t="shared" si="55"/>
        <v>1</v>
      </c>
      <c r="CP19">
        <f t="shared" si="55"/>
        <v>1</v>
      </c>
      <c r="CQ19">
        <f t="shared" si="55"/>
        <v>1</v>
      </c>
      <c r="CR19">
        <f t="shared" si="55"/>
        <v>1</v>
      </c>
      <c r="CS19">
        <f t="shared" si="55"/>
        <v>1</v>
      </c>
      <c r="CT19">
        <f t="shared" si="55"/>
        <v>1</v>
      </c>
      <c r="CU19">
        <f t="shared" si="55"/>
        <v>1</v>
      </c>
      <c r="CV19">
        <f t="shared" si="55"/>
        <v>1</v>
      </c>
      <c r="CW19">
        <f t="shared" si="55"/>
        <v>1</v>
      </c>
      <c r="CX19">
        <f t="shared" si="55"/>
        <v>1</v>
      </c>
      <c r="CY19">
        <f t="shared" si="55"/>
        <v>1</v>
      </c>
      <c r="CZ19">
        <f aca="true" t="shared" si="56" ref="CZ19:EG19">IF(CZ10=CZ11,0,1)</f>
        <v>1</v>
      </c>
      <c r="DA19">
        <f t="shared" si="56"/>
        <v>1</v>
      </c>
      <c r="DB19">
        <f t="shared" si="56"/>
        <v>1</v>
      </c>
      <c r="DC19">
        <f t="shared" si="56"/>
        <v>1</v>
      </c>
      <c r="DD19">
        <f t="shared" si="56"/>
        <v>1</v>
      </c>
      <c r="DE19">
        <f t="shared" si="56"/>
        <v>1</v>
      </c>
      <c r="DF19">
        <f t="shared" si="56"/>
        <v>1</v>
      </c>
      <c r="DG19">
        <f t="shared" si="56"/>
        <v>1</v>
      </c>
      <c r="DH19">
        <f t="shared" si="56"/>
        <v>1</v>
      </c>
      <c r="DI19">
        <f t="shared" si="56"/>
        <v>1</v>
      </c>
      <c r="DJ19">
        <f t="shared" si="56"/>
        <v>1</v>
      </c>
      <c r="DK19">
        <f t="shared" si="56"/>
        <v>1</v>
      </c>
      <c r="DL19">
        <f t="shared" si="56"/>
        <v>1</v>
      </c>
      <c r="DM19">
        <f t="shared" si="56"/>
        <v>1</v>
      </c>
      <c r="DN19">
        <f t="shared" si="56"/>
        <v>1</v>
      </c>
      <c r="DO19">
        <f t="shared" si="56"/>
        <v>1</v>
      </c>
      <c r="DP19">
        <f t="shared" si="56"/>
        <v>1</v>
      </c>
      <c r="DQ19">
        <f t="shared" si="56"/>
        <v>1</v>
      </c>
      <c r="DR19">
        <f t="shared" si="56"/>
        <v>1</v>
      </c>
      <c r="DS19">
        <f t="shared" si="56"/>
        <v>1</v>
      </c>
      <c r="DT19">
        <f t="shared" si="56"/>
        <v>1</v>
      </c>
      <c r="DU19">
        <f t="shared" si="56"/>
        <v>1</v>
      </c>
      <c r="DV19">
        <f t="shared" si="56"/>
        <v>1</v>
      </c>
      <c r="DW19">
        <f t="shared" si="56"/>
        <v>1</v>
      </c>
      <c r="DX19">
        <f t="shared" si="56"/>
        <v>1</v>
      </c>
      <c r="DY19">
        <f t="shared" si="56"/>
        <v>1</v>
      </c>
      <c r="DZ19">
        <f t="shared" si="56"/>
        <v>1</v>
      </c>
      <c r="EA19">
        <f t="shared" si="56"/>
        <v>1</v>
      </c>
      <c r="EB19">
        <f t="shared" si="56"/>
        <v>1</v>
      </c>
      <c r="EC19">
        <f t="shared" si="56"/>
        <v>1</v>
      </c>
      <c r="ED19">
        <f t="shared" si="56"/>
        <v>1</v>
      </c>
      <c r="EE19">
        <f t="shared" si="56"/>
        <v>1</v>
      </c>
      <c r="EF19">
        <f t="shared" si="56"/>
        <v>1</v>
      </c>
      <c r="EG19">
        <f t="shared" si="56"/>
        <v>1</v>
      </c>
    </row>
    <row r="20" spans="1:2" ht="12.75">
      <c r="A20" t="s">
        <v>24</v>
      </c>
      <c r="B20" s="1">
        <f>MAX(B12:EG12)</f>
        <v>2.330204355414155</v>
      </c>
    </row>
    <row r="21" spans="1:17" ht="12.75">
      <c r="A21" t="s">
        <v>25</v>
      </c>
      <c r="B21" s="1">
        <f>MAX((-(B20*C25)+(0.5*9.81*(B25)^2)),MAX(B11:EG11)-MAX(B10:EG10))</f>
        <v>0.2767508836896584</v>
      </c>
      <c r="Q21">
        <f>MAX(0,IF(stroke&gt;M13,N10,IF(mass_to_throw=0,N10,M11+(N12*t)-(0.5*9.81*(t^2)))))</f>
        <v>0.09628092139460574</v>
      </c>
    </row>
    <row r="22" spans="1:17" ht="12.75">
      <c r="A22" t="s">
        <v>26</v>
      </c>
      <c r="B22" s="1">
        <f>B21+Max_flipper_height</f>
        <v>0.6587588543096601</v>
      </c>
      <c r="Q22" t="b">
        <f>stroke&gt;(M13+0.005)</f>
        <v>1</v>
      </c>
    </row>
    <row r="23" spans="1:17" ht="12.75">
      <c r="A23" t="s">
        <v>27</v>
      </c>
      <c r="B23" s="1">
        <f>MAX('Flipper geometry'!B18:L18)</f>
        <v>638.0583498393421</v>
      </c>
      <c r="Q23" s="116">
        <f>stroke</f>
        <v>0.2</v>
      </c>
    </row>
    <row r="24" spans="1:17" ht="12.75">
      <c r="A24" t="s">
        <v>28</v>
      </c>
      <c r="B24">
        <f>INDEX(B1:EG1,MATCH(1,B19:EG19,0))</f>
        <v>0.21999999999999983</v>
      </c>
      <c r="Q24" s="116">
        <f>M13</f>
        <v>0.04886053841880211</v>
      </c>
    </row>
    <row r="25" spans="1:17" ht="12.75">
      <c r="A25" t="s">
        <v>29</v>
      </c>
      <c r="B25" s="1">
        <f>B20/9.81</f>
        <v>0.23753357343671305</v>
      </c>
      <c r="Q25" s="115">
        <f>M13+0.01</f>
        <v>0.058860538418802115</v>
      </c>
    </row>
    <row r="40" ht="12.75">
      <c r="B40" s="1"/>
    </row>
    <row r="41" ht="12.75">
      <c r="B41" s="1"/>
    </row>
  </sheetData>
  <printOptions gridLines="1"/>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E20"/>
  <sheetViews>
    <sheetView workbookViewId="0" topLeftCell="A1">
      <selection activeCell="B9" sqref="B9"/>
    </sheetView>
  </sheetViews>
  <sheetFormatPr defaultColWidth="9.140625" defaultRowHeight="12.75"/>
  <cols>
    <col min="1" max="1" width="19.28125" style="0" customWidth="1"/>
    <col min="2" max="2" width="11.421875" style="1" bestFit="1" customWidth="1"/>
    <col min="3" max="16384" width="9.00390625" style="0" bestFit="1" customWidth="1"/>
  </cols>
  <sheetData>
    <row r="1" spans="1:3" ht="12.75">
      <c r="A1" t="s">
        <v>30</v>
      </c>
      <c r="B1" s="1">
        <f>('Pneumatic components'!$C$11/2/1000)^2*PI()</f>
        <v>0.007853981633974483</v>
      </c>
      <c r="C1" t="s">
        <v>31</v>
      </c>
    </row>
    <row r="2" spans="1:3" ht="12.75">
      <c r="A2" t="s">
        <v>6</v>
      </c>
      <c r="B2" s="1">
        <f>'Pneumatic components'!$C$11/1000</f>
        <v>0.1</v>
      </c>
      <c r="C2" t="s">
        <v>5</v>
      </c>
    </row>
    <row r="3" spans="1:3" ht="12.75">
      <c r="A3" t="s">
        <v>7</v>
      </c>
      <c r="B3" s="1">
        <f>'Pneumatic components'!$C$12/1000</f>
        <v>0.2</v>
      </c>
      <c r="C3" t="s">
        <v>5</v>
      </c>
    </row>
    <row r="4" spans="1:3" ht="12.75">
      <c r="A4" t="s">
        <v>32</v>
      </c>
      <c r="B4" s="1">
        <f>'Pneumatic components'!$C$4/60</f>
        <v>15</v>
      </c>
      <c r="C4" t="s">
        <v>33</v>
      </c>
    </row>
    <row r="5" spans="1:3" ht="12.75">
      <c r="A5" t="s">
        <v>34</v>
      </c>
      <c r="B5" s="1">
        <f>'Pneumatic components'!$C$6/60</f>
        <v>28.7</v>
      </c>
      <c r="C5" t="s">
        <v>33</v>
      </c>
    </row>
    <row r="6" spans="1:3" ht="12.75">
      <c r="A6" t="s">
        <v>135</v>
      </c>
      <c r="B6" s="1">
        <f>'Pneumatic components'!C15</f>
        <v>0.5</v>
      </c>
      <c r="C6" t="s">
        <v>0</v>
      </c>
    </row>
    <row r="7" ht="12.75">
      <c r="A7" t="s">
        <v>35</v>
      </c>
    </row>
    <row r="8" spans="1:3" ht="12.75">
      <c r="A8" t="s">
        <v>4</v>
      </c>
      <c r="B8" s="1">
        <f>IF(ISBLANK('Pneumatic components'!$C$8)=TRUE,INDEX('pipe flow rates'!$B$4:$B$9,MATCH('Pneumatic components'!$C$7,'pipe flow rates'!$A$4:$A$9,1)),'Pneumatic components'!$C$8)</f>
        <v>8.5</v>
      </c>
      <c r="C8" t="s">
        <v>3</v>
      </c>
    </row>
    <row r="9" spans="1:5" ht="12.75">
      <c r="A9" t="s">
        <v>36</v>
      </c>
      <c r="B9" s="1">
        <f>(INDEX('pipe flow rates'!$C$4:$S$9,MATCH('Pneumatic components'!$C$7,'pipe flow rates'!$A$4:$A$9,1),MATCH('Pneumatic components'!$C$3,'pipe flow rates'!$C$3:$S$3,1)))*'Pneumatic components'!C9</f>
        <v>28.7</v>
      </c>
      <c r="C9" t="s">
        <v>33</v>
      </c>
      <c r="D9">
        <f>B9*60</f>
        <v>1722</v>
      </c>
      <c r="E9" t="s">
        <v>37</v>
      </c>
    </row>
    <row r="10" spans="1:3" ht="12.75">
      <c r="A10" t="s">
        <v>38</v>
      </c>
      <c r="B10" s="1">
        <f>MAX(0.00000001,(B8/100/2)^2*PI()*'Pneumatic components'!$C$10*10)</f>
        <v>0.005674501730546566</v>
      </c>
      <c r="C10" t="s">
        <v>2</v>
      </c>
    </row>
    <row r="11" spans="1:3" ht="12.75">
      <c r="A11" t="s">
        <v>39</v>
      </c>
      <c r="B11" s="1">
        <f>Pb*((100+'Pneumatic components'!$C$19)/100)</f>
        <v>16.8</v>
      </c>
      <c r="C11" t="s">
        <v>0</v>
      </c>
    </row>
    <row r="12" spans="1:3" ht="12.75">
      <c r="A12" t="s">
        <v>40</v>
      </c>
      <c r="B12" s="1">
        <f>Pb*((100-'Pneumatic components'!$C$19)/100)</f>
        <v>15.2</v>
      </c>
      <c r="C12" t="s">
        <v>0</v>
      </c>
    </row>
    <row r="13" spans="1:3" ht="12.75">
      <c r="A13" t="s">
        <v>41</v>
      </c>
      <c r="C13" t="s">
        <v>5</v>
      </c>
    </row>
    <row r="14" spans="1:3" ht="12.75">
      <c r="A14" t="s">
        <v>49</v>
      </c>
      <c r="B14" s="1">
        <f>MAX(0.00000001,'Pneumatic components'!C5)</f>
        <v>1</v>
      </c>
      <c r="C14" t="s">
        <v>2</v>
      </c>
    </row>
    <row r="15" spans="1:3" ht="12.75">
      <c r="A15" t="s">
        <v>76</v>
      </c>
      <c r="B15" s="1">
        <f>'Pneumatic components'!C17/2</f>
        <v>5</v>
      </c>
      <c r="C15" t="s">
        <v>9</v>
      </c>
    </row>
    <row r="17" spans="1:4" ht="12.75">
      <c r="A17" t="s">
        <v>10</v>
      </c>
      <c r="B17">
        <f>D17/300</f>
        <v>0.006666666666666667</v>
      </c>
      <c r="C17" t="s">
        <v>11</v>
      </c>
      <c r="D17" s="20">
        <v>2</v>
      </c>
    </row>
    <row r="19" spans="1:2" ht="12.75">
      <c r="A19" t="s">
        <v>78</v>
      </c>
      <c r="B19" s="1" t="s">
        <v>80</v>
      </c>
    </row>
    <row r="20" ht="12.75">
      <c r="B20" t="s">
        <v>81</v>
      </c>
    </row>
  </sheetData>
  <printOptions gridLines="1"/>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9"/>
  <sheetViews>
    <sheetView zoomScale="75" zoomScaleNormal="75" workbookViewId="0" topLeftCell="A3">
      <selection activeCell="B8" sqref="B8"/>
    </sheetView>
  </sheetViews>
  <sheetFormatPr defaultColWidth="9.140625" defaultRowHeight="12.75"/>
  <cols>
    <col min="1" max="16384" width="9.00390625" style="0" bestFit="1" customWidth="1"/>
  </cols>
  <sheetData>
    <row r="1" s="5" customFormat="1" ht="12.75">
      <c r="A1" s="5" t="s">
        <v>42</v>
      </c>
    </row>
    <row r="2" spans="1:3" s="5" customFormat="1" ht="12.75">
      <c r="A2" s="5" t="s">
        <v>43</v>
      </c>
      <c r="C2" s="5" t="s">
        <v>44</v>
      </c>
    </row>
    <row r="3" spans="1:19" ht="12.75">
      <c r="A3" s="6" t="s">
        <v>45</v>
      </c>
      <c r="B3" s="6" t="s">
        <v>46</v>
      </c>
      <c r="C3" s="9">
        <v>0</v>
      </c>
      <c r="D3" s="10">
        <v>1</v>
      </c>
      <c r="E3" s="10">
        <v>2</v>
      </c>
      <c r="F3" s="10">
        <v>3</v>
      </c>
      <c r="G3" s="10">
        <v>4</v>
      </c>
      <c r="H3" s="10">
        <v>5</v>
      </c>
      <c r="I3" s="10">
        <v>6</v>
      </c>
      <c r="J3" s="10">
        <v>7</v>
      </c>
      <c r="K3" s="10">
        <v>8</v>
      </c>
      <c r="L3" s="10">
        <v>9</v>
      </c>
      <c r="M3" s="10">
        <v>10</v>
      </c>
      <c r="N3" s="11">
        <v>11</v>
      </c>
      <c r="O3" s="11">
        <v>12</v>
      </c>
      <c r="P3" s="11">
        <v>13</v>
      </c>
      <c r="Q3" s="11">
        <v>14</v>
      </c>
      <c r="R3" s="11">
        <v>15</v>
      </c>
      <c r="S3" s="12">
        <v>16</v>
      </c>
    </row>
    <row r="4" spans="1:19" ht="12.75">
      <c r="A4" s="7">
        <v>4</v>
      </c>
      <c r="B4" s="7">
        <v>2.5</v>
      </c>
      <c r="C4">
        <v>0.147</v>
      </c>
      <c r="D4">
        <v>0.293</v>
      </c>
      <c r="E4">
        <v>0.438</v>
      </c>
      <c r="F4">
        <v>0.583</v>
      </c>
      <c r="G4">
        <v>0.729</v>
      </c>
      <c r="H4">
        <v>0.874</v>
      </c>
      <c r="I4">
        <v>1.02</v>
      </c>
      <c r="J4">
        <v>1.16</v>
      </c>
      <c r="K4">
        <v>1.31</v>
      </c>
      <c r="L4">
        <v>1.46</v>
      </c>
      <c r="M4">
        <v>1.6</v>
      </c>
      <c r="N4">
        <v>1.74</v>
      </c>
      <c r="O4">
        <v>1.88</v>
      </c>
      <c r="P4">
        <v>2.02</v>
      </c>
      <c r="Q4">
        <v>2.16</v>
      </c>
      <c r="R4">
        <v>2.3</v>
      </c>
      <c r="S4" s="2">
        <v>2.44</v>
      </c>
    </row>
    <row r="5" spans="1:19" ht="12.75">
      <c r="A5" s="7">
        <v>5</v>
      </c>
      <c r="B5" s="7">
        <v>3.3</v>
      </c>
      <c r="C5">
        <v>0.257</v>
      </c>
      <c r="D5">
        <v>0.51</v>
      </c>
      <c r="E5">
        <v>0.763</v>
      </c>
      <c r="F5">
        <v>1.02</v>
      </c>
      <c r="G5">
        <v>1.27</v>
      </c>
      <c r="H5">
        <v>1.52</v>
      </c>
      <c r="I5">
        <v>1.78</v>
      </c>
      <c r="J5">
        <v>2.03</v>
      </c>
      <c r="K5">
        <v>2.28</v>
      </c>
      <c r="L5">
        <v>2.54</v>
      </c>
      <c r="M5">
        <v>2.79</v>
      </c>
      <c r="N5">
        <v>3.04</v>
      </c>
      <c r="O5">
        <v>3.29</v>
      </c>
      <c r="P5">
        <v>3.54</v>
      </c>
      <c r="Q5">
        <v>3.79</v>
      </c>
      <c r="R5">
        <v>4.04</v>
      </c>
      <c r="S5" s="2">
        <v>4.29</v>
      </c>
    </row>
    <row r="6" spans="1:19" ht="12.75">
      <c r="A6" s="7">
        <v>6</v>
      </c>
      <c r="B6" s="7">
        <v>4</v>
      </c>
      <c r="C6">
        <v>0.377</v>
      </c>
      <c r="D6">
        <v>0.749</v>
      </c>
      <c r="E6">
        <v>1.12</v>
      </c>
      <c r="F6">
        <v>1.49</v>
      </c>
      <c r="G6">
        <v>1.87</v>
      </c>
      <c r="H6">
        <v>2.24</v>
      </c>
      <c r="I6">
        <v>2.61</v>
      </c>
      <c r="J6">
        <v>2.98</v>
      </c>
      <c r="K6">
        <v>3.35</v>
      </c>
      <c r="L6">
        <v>3.75</v>
      </c>
      <c r="M6">
        <v>4.1</v>
      </c>
      <c r="N6">
        <v>4.45</v>
      </c>
      <c r="O6">
        <v>4.8</v>
      </c>
      <c r="P6">
        <v>5.15</v>
      </c>
      <c r="Q6">
        <v>5.5</v>
      </c>
      <c r="R6">
        <v>5.85</v>
      </c>
      <c r="S6" s="2">
        <v>6.2</v>
      </c>
    </row>
    <row r="7" spans="1:19" ht="12.75">
      <c r="A7" s="7">
        <v>8</v>
      </c>
      <c r="B7" s="7">
        <v>5.5</v>
      </c>
      <c r="C7">
        <v>0.713</v>
      </c>
      <c r="D7">
        <v>1.42</v>
      </c>
      <c r="E7">
        <v>2.12</v>
      </c>
      <c r="F7">
        <v>2.82</v>
      </c>
      <c r="G7">
        <v>3.53</v>
      </c>
      <c r="H7">
        <v>4.23</v>
      </c>
      <c r="I7">
        <v>4.93</v>
      </c>
      <c r="J7">
        <v>5.64</v>
      </c>
      <c r="K7">
        <v>6.34</v>
      </c>
      <c r="L7">
        <v>7.05</v>
      </c>
      <c r="M7">
        <v>7.75</v>
      </c>
      <c r="N7">
        <v>8.45</v>
      </c>
      <c r="O7">
        <v>9.15</v>
      </c>
      <c r="P7">
        <v>9.85</v>
      </c>
      <c r="Q7">
        <v>10.55</v>
      </c>
      <c r="R7">
        <v>11.25</v>
      </c>
      <c r="S7" s="2">
        <v>11.95</v>
      </c>
    </row>
    <row r="8" spans="1:19" ht="12.75">
      <c r="A8" s="7">
        <v>10</v>
      </c>
      <c r="B8" s="7">
        <v>7</v>
      </c>
      <c r="C8">
        <v>1.15</v>
      </c>
      <c r="D8">
        <v>2.29</v>
      </c>
      <c r="E8">
        <v>3.43</v>
      </c>
      <c r="F8">
        <v>4.57</v>
      </c>
      <c r="G8">
        <v>5.71</v>
      </c>
      <c r="H8">
        <v>6.85</v>
      </c>
      <c r="I8">
        <v>7.99</v>
      </c>
      <c r="J8">
        <v>9.13</v>
      </c>
      <c r="K8">
        <v>10.3</v>
      </c>
      <c r="L8">
        <v>11.4</v>
      </c>
      <c r="M8">
        <v>12.6</v>
      </c>
      <c r="N8">
        <v>13.8</v>
      </c>
      <c r="O8">
        <v>15</v>
      </c>
      <c r="P8">
        <v>16.2</v>
      </c>
      <c r="Q8">
        <v>17.4</v>
      </c>
      <c r="R8">
        <v>18.6</v>
      </c>
      <c r="S8" s="2">
        <v>19.8</v>
      </c>
    </row>
    <row r="9" spans="1:19" ht="12.75">
      <c r="A9" s="8">
        <v>12</v>
      </c>
      <c r="B9" s="8">
        <v>8.5</v>
      </c>
      <c r="C9" s="3">
        <v>1.7</v>
      </c>
      <c r="D9" s="3">
        <v>3.38</v>
      </c>
      <c r="E9" s="3">
        <v>5.06</v>
      </c>
      <c r="F9" s="3">
        <v>6.74</v>
      </c>
      <c r="G9" s="3">
        <v>8.42</v>
      </c>
      <c r="H9" s="3">
        <v>10.1</v>
      </c>
      <c r="I9" s="3">
        <v>11.8</v>
      </c>
      <c r="J9" s="3">
        <v>13.6</v>
      </c>
      <c r="K9" s="3">
        <v>15.1</v>
      </c>
      <c r="L9" s="3">
        <v>16.8</v>
      </c>
      <c r="M9" s="3">
        <v>18.5</v>
      </c>
      <c r="N9" s="3">
        <v>20.2</v>
      </c>
      <c r="O9" s="3">
        <v>21.9</v>
      </c>
      <c r="P9" s="3">
        <v>23.6</v>
      </c>
      <c r="Q9" s="3">
        <v>25.3</v>
      </c>
      <c r="R9" s="3">
        <v>27</v>
      </c>
      <c r="S9" s="4">
        <v>28.7</v>
      </c>
    </row>
  </sheetData>
  <sheetProtection sheet="1" objects="1" scenarios="1"/>
  <printOptions gridLines="1"/>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9"/>
  <sheetViews>
    <sheetView showGridLines="0" workbookViewId="0" topLeftCell="A1">
      <selection activeCell="C15" sqref="C15"/>
    </sheetView>
  </sheetViews>
  <sheetFormatPr defaultColWidth="9.140625" defaultRowHeight="12.75"/>
  <cols>
    <col min="1" max="1" width="6.57421875" style="0" customWidth="1"/>
    <col min="2" max="2" width="2.140625" style="0" customWidth="1"/>
    <col min="3" max="3" width="81.00390625" style="0" customWidth="1"/>
  </cols>
  <sheetData>
    <row r="1" s="23" customFormat="1" ht="15">
      <c r="C1" s="23" t="s">
        <v>72</v>
      </c>
    </row>
    <row r="2" s="23" customFormat="1" ht="15"/>
    <row r="3" spans="1:3" ht="12.75">
      <c r="A3">
        <v>1</v>
      </c>
      <c r="B3" t="s">
        <v>68</v>
      </c>
      <c r="C3" t="s">
        <v>69</v>
      </c>
    </row>
    <row r="4" spans="1:3" ht="12.75">
      <c r="A4">
        <v>2</v>
      </c>
      <c r="B4" t="s">
        <v>68</v>
      </c>
      <c r="C4" t="s">
        <v>70</v>
      </c>
    </row>
    <row r="5" spans="1:3" ht="12.75">
      <c r="A5">
        <v>3</v>
      </c>
      <c r="B5" t="s">
        <v>68</v>
      </c>
      <c r="C5" t="s">
        <v>136</v>
      </c>
    </row>
    <row r="6" spans="1:3" ht="12.75">
      <c r="A6">
        <v>4</v>
      </c>
      <c r="B6" t="s">
        <v>68</v>
      </c>
      <c r="C6" t="s">
        <v>71</v>
      </c>
    </row>
    <row r="7" spans="1:3" ht="12.75">
      <c r="A7">
        <v>5</v>
      </c>
      <c r="B7" t="s">
        <v>68</v>
      </c>
      <c r="C7" t="s">
        <v>74</v>
      </c>
    </row>
    <row r="8" spans="1:3" ht="12.75">
      <c r="A8">
        <v>6</v>
      </c>
      <c r="B8" t="s">
        <v>68</v>
      </c>
      <c r="C8" t="s">
        <v>73</v>
      </c>
    </row>
    <row r="9" spans="1:3" ht="12.75">
      <c r="A9">
        <v>7</v>
      </c>
      <c r="B9" t="s">
        <v>68</v>
      </c>
      <c r="C9" t="s">
        <v>137</v>
      </c>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C12" sqref="C12"/>
    </sheetView>
  </sheetViews>
  <sheetFormatPr defaultColWidth="9.140625" defaultRowHeight="12.75"/>
  <sheetData/>
  <sheetProtection sheet="1" objects="1" scenarios="1"/>
  <printOptions/>
  <pageMargins left="0.75" right="0.75" top="1" bottom="1" header="0.5" footer="0.5"/>
  <pageSetup orientation="portrait" paperSize="9"/>
  <legacyDrawing r:id="rId2"/>
  <oleObjects>
    <oleObject progId="PowerPoint.Slide.8" shapeId="463479" r:id="rId1"/>
  </oleObjects>
</worksheet>
</file>

<file path=xl/worksheets/sheet9.xml><?xml version="1.0" encoding="utf-8"?>
<worksheet xmlns="http://schemas.openxmlformats.org/spreadsheetml/2006/main" xmlns:r="http://schemas.openxmlformats.org/officeDocument/2006/relationships">
  <dimension ref="L5:Q17"/>
  <sheetViews>
    <sheetView showGridLines="0" workbookViewId="0" topLeftCell="A1">
      <selection activeCell="C48" sqref="C48"/>
    </sheetView>
  </sheetViews>
  <sheetFormatPr defaultColWidth="9.140625" defaultRowHeight="12.75"/>
  <cols>
    <col min="1" max="10" width="9.140625" style="31" customWidth="1"/>
    <col min="11" max="11" width="11.57421875" style="31" customWidth="1"/>
    <col min="12" max="12" width="6.57421875" style="31" customWidth="1"/>
    <col min="13" max="13" width="9.140625" style="31" customWidth="1"/>
    <col min="14" max="14" width="14.140625" style="31" customWidth="1"/>
    <col min="15" max="16384" width="9.140625" style="31" customWidth="1"/>
  </cols>
  <sheetData>
    <row r="1" ht="12.75"/>
    <row r="2" ht="12.75"/>
    <row r="3" ht="12.75"/>
    <row r="4" ht="12.75"/>
    <row r="5" spans="12:14" ht="12.75">
      <c r="L5" s="87" t="s">
        <v>140</v>
      </c>
      <c r="M5" s="80"/>
      <c r="N5" s="81"/>
    </row>
    <row r="6" spans="12:14" ht="12.75">
      <c r="L6" s="88" t="s">
        <v>142</v>
      </c>
      <c r="M6" s="82"/>
      <c r="N6" s="83"/>
    </row>
    <row r="7" spans="12:14" ht="12.75">
      <c r="L7" s="84"/>
      <c r="M7" s="85"/>
      <c r="N7" s="86"/>
    </row>
    <row r="8" spans="12:17" ht="12.75">
      <c r="L8" s="68"/>
      <c r="M8" s="69" t="s">
        <v>141</v>
      </c>
      <c r="N8" s="70"/>
      <c r="O8" s="67"/>
      <c r="P8" s="67"/>
      <c r="Q8" s="67"/>
    </row>
    <row r="9" spans="12:17" ht="12.75">
      <c r="L9" s="71"/>
      <c r="M9" s="72"/>
      <c r="N9" s="73"/>
      <c r="O9" s="67"/>
      <c r="P9" s="67"/>
      <c r="Q9" s="67"/>
    </row>
    <row r="10" spans="12:17" ht="12.75">
      <c r="L10" s="74" t="s">
        <v>95</v>
      </c>
      <c r="M10" s="75" t="s">
        <v>94</v>
      </c>
      <c r="N10" s="73"/>
      <c r="O10" s="67"/>
      <c r="P10" s="67"/>
      <c r="Q10" s="67"/>
    </row>
    <row r="11" spans="12:17" ht="12.75">
      <c r="L11" s="74" t="s">
        <v>97</v>
      </c>
      <c r="M11" s="76" t="s">
        <v>96</v>
      </c>
      <c r="N11" s="73"/>
      <c r="O11" s="67"/>
      <c r="P11" s="67"/>
      <c r="Q11" s="67"/>
    </row>
    <row r="12" spans="12:17" ht="12.75">
      <c r="L12" s="74" t="s">
        <v>99</v>
      </c>
      <c r="M12" s="76" t="s">
        <v>98</v>
      </c>
      <c r="N12" s="73"/>
      <c r="O12" s="67"/>
      <c r="P12" s="67"/>
      <c r="Q12" s="67"/>
    </row>
    <row r="13" spans="12:17" ht="12.75">
      <c r="L13" s="74" t="s">
        <v>101</v>
      </c>
      <c r="M13" s="76" t="s">
        <v>100</v>
      </c>
      <c r="N13" s="73"/>
      <c r="O13" s="67"/>
      <c r="P13" s="67"/>
      <c r="Q13" s="67"/>
    </row>
    <row r="14" spans="12:17" ht="12.75">
      <c r="L14" s="74" t="s">
        <v>103</v>
      </c>
      <c r="M14" s="76" t="s">
        <v>102</v>
      </c>
      <c r="N14" s="73"/>
      <c r="O14" s="67"/>
      <c r="P14" s="67"/>
      <c r="Q14" s="67"/>
    </row>
    <row r="15" spans="12:17" ht="12.75">
      <c r="L15" s="74" t="s">
        <v>105</v>
      </c>
      <c r="M15" s="76" t="s">
        <v>104</v>
      </c>
      <c r="N15" s="73"/>
      <c r="O15" s="67"/>
      <c r="P15" s="67"/>
      <c r="Q15" s="67"/>
    </row>
    <row r="16" spans="12:17" ht="12.75">
      <c r="L16" s="77" t="s">
        <v>107</v>
      </c>
      <c r="M16" s="78" t="s">
        <v>106</v>
      </c>
      <c r="N16" s="79"/>
      <c r="O16" s="67"/>
      <c r="P16" s="67"/>
      <c r="Q16" s="67"/>
    </row>
    <row r="17" spans="12:17" ht="12.75">
      <c r="L17" s="67"/>
      <c r="M17" s="67"/>
      <c r="N17" s="67"/>
      <c r="O17" s="67"/>
      <c r="P17" s="67"/>
      <c r="Q17" s="67"/>
    </row>
    <row r="18" ht="12.75"/>
    <row r="19" ht="12.75"/>
    <row r="20" ht="12.75"/>
    <row r="21" ht="12.75"/>
    <row r="22" ht="12.75"/>
    <row r="23" ht="12.75"/>
    <row r="24" ht="12.75"/>
    <row r="25" ht="12.75"/>
    <row r="26" ht="12.75"/>
    <row r="27" ht="12.75"/>
    <row r="28" ht="12.75"/>
    <row r="29" ht="12.75"/>
    <row r="30" ht="12.75"/>
  </sheetData>
  <sheetProtection sheet="1" objects="1" scenarios="1"/>
  <printOptions/>
  <pageMargins left="0.75" right="0.75" top="1" bottom="1" header="0.5" footer="0.5"/>
  <pageSetup horizontalDpi="600" verticalDpi="600" orientation="portrait" paperSize="9" r:id="rId4"/>
  <legacyDrawing r:id="rId3"/>
  <oleObjects>
    <oleObject progId="PowerPoint.Slide.8" shapeId="622384"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The Hassocks Hog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Pneumatic flipper calculation</dc:title>
  <dc:subject/>
  <dc:creator>Noel Poncelet</dc:creator>
  <cp:keywords/>
  <dc:description>Version 3 with flipper geometry animation.
www.hassockshog.co.uk</dc:description>
  <cp:lastModifiedBy>Noel Poncelet</cp:lastModifiedBy>
  <dcterms:created xsi:type="dcterms:W3CDTF">2002-10-12T23:45:34Z</dcterms:created>
  <dcterms:modified xsi:type="dcterms:W3CDTF">2003-05-04T00:22:48Z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-1347986102</vt:i4>
  </property>
  <property fmtid="{D5CDD505-2E9C-101B-9397-08002B2CF9AE}" pid="3" name="_EmailSubject">
    <vt:lpwstr>Ramcalc v2</vt:lpwstr>
  </property>
  <property fmtid="{D5CDD505-2E9C-101B-9397-08002B2CF9AE}" pid="4" name="_AuthorEmail">
    <vt:lpwstr>noel.poncelet@bt.com</vt:lpwstr>
  </property>
  <property fmtid="{D5CDD505-2E9C-101B-9397-08002B2CF9AE}" pid="5" name="_AuthorEmailDisplayName">
    <vt:lpwstr>Poncelet,N,Noel,IXB18 R</vt:lpwstr>
  </property>
  <property fmtid="{D5CDD505-2E9C-101B-9397-08002B2CF9AE}" pid="6" name="_ReviewingToolsShownOnce">
    <vt:lpwstr/>
  </property>
</Properties>
</file>